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Z:\1 Countries\1 UK\CGT\"/>
    </mc:Choice>
  </mc:AlternateContent>
  <xr:revisionPtr revIDLastSave="0" documentId="13_ncr:1_{AF680074-A835-4680-A478-281EEBAE8FDA}" xr6:coauthVersionLast="45" xr6:coauthVersionMax="45" xr10:uidLastSave="{00000000-0000-0000-0000-000000000000}"/>
  <bookViews>
    <workbookView xWindow="-108" yWindow="-108" windowWidth="41496" windowHeight="16896" xr2:uid="{00000000-000D-0000-FFFF-FFFF00000000}"/>
  </bookViews>
  <sheets>
    <sheet name="Instruction &amp; apportionment" sheetId="3" r:id="rId1"/>
    <sheet name="PA Share price table" sheetId="11" r:id="rId2"/>
    <sheet name="PA Share History" sheetId="6" r:id="rId3"/>
    <sheet name="s104 holdings" sheetId="5" r:id="rId4"/>
    <sheet name="Ipex &amp; PACG Redeemable shares" sheetId="17" r:id="rId5"/>
    <sheet name="1516 TR pages" sheetId="20" r:id="rId6"/>
    <sheet name="1415 TR pages" sheetId="19" r:id="rId7"/>
    <sheet name="1314 TR pages" sheetId="18" r:id="rId8"/>
    <sheet name="1213 TR pages" sheetId="14" r:id="rId9"/>
    <sheet name="1112 TR pages" sheetId="13" r:id="rId10"/>
    <sheet name="1011 TR pages" sheetId="10" r:id="rId11"/>
    <sheet name="0910 TR pages" sheetId="9" r:id="rId12"/>
    <sheet name="0809 TR pages" sheetId="4" r:id="rId13"/>
  </sheets>
  <definedNames>
    <definedName name="CombinedTotals" localSheetId="8">#REF!</definedName>
    <definedName name="CombinedTotals" localSheetId="5">#REF!</definedName>
    <definedName name="CombinedTotals">#REF!</definedName>
    <definedName name="ddm" localSheetId="9">'1112 TR pages'!ddm</definedName>
    <definedName name="ddm" localSheetId="8">'1213 TR pages'!ddm</definedName>
    <definedName name="ddm" localSheetId="1">'PA Share price table'!ddm</definedName>
    <definedName name="ddm">[0]!ddm</definedName>
    <definedName name="Globa" localSheetId="9">'1112 TR pages'!Globa</definedName>
    <definedName name="Globa" localSheetId="8">'1213 TR pages'!Globa</definedName>
    <definedName name="Globa" localSheetId="1">'PA Share price table'!Globa</definedName>
    <definedName name="Globa">[0]!Globa</definedName>
    <definedName name="Global" localSheetId="9">'1112 TR pages'!Global</definedName>
    <definedName name="Global" localSheetId="8">'1213 TR pages'!Global</definedName>
    <definedName name="Global" localSheetId="1">'PA Share price table'!Global</definedName>
    <definedName name="Global">[0]!Global</definedName>
    <definedName name="Macauto" localSheetId="9">'1112 TR pages'!Macauto</definedName>
    <definedName name="Macauto" localSheetId="8">'1213 TR pages'!Macauto</definedName>
    <definedName name="Macauto" localSheetId="1">'PA Share price table'!Macauto</definedName>
    <definedName name="Macauto">[0]!Macauto</definedName>
    <definedName name="Macro1" localSheetId="9">'1112 TR pages'!Macro1</definedName>
    <definedName name="Macro1" localSheetId="8">'1213 TR pages'!Macro1</definedName>
    <definedName name="Macro1" localSheetId="1">'PA Share price table'!Macro1</definedName>
    <definedName name="Macro1">[0]!Macro1</definedName>
    <definedName name="Macro10" localSheetId="9">'1112 TR pages'!Macro10</definedName>
    <definedName name="Macro10" localSheetId="8">'1213 TR pages'!Macro10</definedName>
    <definedName name="Macro10" localSheetId="1">'PA Share price table'!Macro10</definedName>
    <definedName name="Macro10">[0]!Macro10</definedName>
    <definedName name="Macro11" localSheetId="9">'1112 TR pages'!Macro11</definedName>
    <definedName name="Macro11" localSheetId="8">'1213 TR pages'!Macro11</definedName>
    <definedName name="Macro11" localSheetId="1">'PA Share price table'!Macro11</definedName>
    <definedName name="Macro11">[0]!Macro11</definedName>
    <definedName name="Macro13" localSheetId="9">'1112 TR pages'!Macro13</definedName>
    <definedName name="Macro13" localSheetId="8">'1213 TR pages'!Macro13</definedName>
    <definedName name="Macro13" localSheetId="1">'PA Share price table'!Macro13</definedName>
    <definedName name="Macro13">[0]!Macro13</definedName>
    <definedName name="Macro2" localSheetId="9">'1112 TR pages'!Macro2</definedName>
    <definedName name="Macro2" localSheetId="8">'1213 TR pages'!Macro2</definedName>
    <definedName name="Macro2" localSheetId="1">'PA Share price table'!Macro2</definedName>
    <definedName name="Macro2">[0]!Macro2</definedName>
    <definedName name="Macro3" localSheetId="9">'1112 TR pages'!Macro3</definedName>
    <definedName name="Macro3" localSheetId="8">'1213 TR pages'!Macro3</definedName>
    <definedName name="Macro3" localSheetId="1">'PA Share price table'!Macro3</definedName>
    <definedName name="Macro3">[0]!Macro3</definedName>
    <definedName name="Macro5" localSheetId="9">'1112 TR pages'!Macro5</definedName>
    <definedName name="Macro5" localSheetId="8">'1213 TR pages'!Macro5</definedName>
    <definedName name="Macro5" localSheetId="1">'PA Share price table'!Macro5</definedName>
    <definedName name="Macro5">[0]!Macro5</definedName>
    <definedName name="Macro7" localSheetId="9">'1112 TR pages'!Macro7</definedName>
    <definedName name="Macro7" localSheetId="8">'1213 TR pages'!Macro7</definedName>
    <definedName name="Macro7" localSheetId="1">'PA Share price table'!Macro7</definedName>
    <definedName name="Macro7">[0]!Macro7</definedName>
    <definedName name="PAShareHistory" localSheetId="8">#REF!</definedName>
    <definedName name="PAShareHistory" localSheetId="5">#REF!</definedName>
    <definedName name="PAShareHistory">#REF!</definedName>
    <definedName name="PAShareMessage" localSheetId="8">#REF!</definedName>
    <definedName name="PAShareMessage" localSheetId="5">#REF!</definedName>
    <definedName name="PAShareMessage">#REF!</definedName>
    <definedName name="_xlnm.Print_Area" localSheetId="12">'0809 TR pages'!$A$1:$E$97</definedName>
    <definedName name="_xlnm.Print_Area" localSheetId="11">'0910 TR pages'!$A$1:$E$94</definedName>
    <definedName name="_xlnm.Print_Area" localSheetId="10">'1011 TR pages'!$A$1:$E$92</definedName>
    <definedName name="_xlnm.Print_Area" localSheetId="9">'1112 TR pages'!$A$1:$H$94</definedName>
    <definedName name="_xlnm.Print_Area" localSheetId="8">'1213 TR pages'!$A$40:$E$59</definedName>
    <definedName name="_xlnm.Print_Area" localSheetId="7">'1314 TR pages'!$A$64:$E$81</definedName>
    <definedName name="_xlnm.Print_Area" localSheetId="6">'1415 TR pages'!$A$71:$E$82</definedName>
    <definedName name="_xlnm.Print_Area" localSheetId="5">'1516 TR pages'!$A$63:$E$79</definedName>
    <definedName name="_xlnm.Print_Area" localSheetId="0">'Instruction &amp; apportionment'!$A$1:$D$33</definedName>
    <definedName name="_xlnm.Print_Area" localSheetId="4">'Ipex &amp; PACG Redeemable shares'!$A$1:$K$35</definedName>
    <definedName name="_xlnm.Print_Area" localSheetId="2">'PA Share History'!$A$1:$E$69</definedName>
    <definedName name="_xlnm.Print_Area" localSheetId="1">'PA Share price table'!$A$1:$L$63</definedName>
    <definedName name="_xlnm.Print_Area" localSheetId="3">'s104 holdings'!$A$1:$T$91</definedName>
    <definedName name="RestrictedCumulativeTotal" localSheetId="8">#REF!</definedName>
    <definedName name="RestrictedCumulativeTotal" localSheetId="5">#REF!</definedName>
    <definedName name="RestrictedCumulativeTotal">#REF!</definedName>
    <definedName name="RestrictedHeaderRow" localSheetId="8">#REF!</definedName>
    <definedName name="RestrictedHeaderRow" localSheetId="5">#REF!</definedName>
    <definedName name="RestrictedHeaderRow">#REF!</definedName>
    <definedName name="RestrictedTotalPurchases" localSheetId="8">#REF!</definedName>
    <definedName name="RestrictedTotalPurchases" localSheetId="5">#REF!</definedName>
    <definedName name="RestrictedTotalPurchases">#REF!</definedName>
    <definedName name="temp" localSheetId="9">'1112 TR pages'!temp</definedName>
    <definedName name="temp" localSheetId="8">'1213 TR pages'!temp</definedName>
    <definedName name="temp" localSheetId="1">'PA Share price table'!temp</definedName>
    <definedName name="temp">[0]!temp</definedName>
    <definedName name="Tim.All" localSheetId="9">'1112 TR pages'!Tim.All</definedName>
    <definedName name="Tim.All" localSheetId="8">'1213 TR pages'!Tim.All</definedName>
    <definedName name="Tim.All" localSheetId="1">'PA Share price table'!Tim.All</definedName>
    <definedName name="Tim.All">[0]!Tim.All</definedName>
    <definedName name="Tim.goto1" localSheetId="9">'1112 TR pages'!Tim.goto1</definedName>
    <definedName name="Tim.goto1" localSheetId="8">'1213 TR pages'!Tim.goto1</definedName>
    <definedName name="Tim.goto1" localSheetId="1">'PA Share price table'!Tim.goto1</definedName>
    <definedName name="Tim.goto1">[0]!Tim.goto1</definedName>
    <definedName name="Tim.goto11" localSheetId="9">'1112 TR pages'!Tim.goto11</definedName>
    <definedName name="Tim.goto11" localSheetId="8">'1213 TR pages'!Tim.goto11</definedName>
    <definedName name="Tim.goto11" localSheetId="1">'PA Share price table'!Tim.goto11</definedName>
    <definedName name="Tim.goto11">[0]!Tim.goto11</definedName>
    <definedName name="Tim.goto12" localSheetId="9">'1112 TR pages'!Tim.goto12</definedName>
    <definedName name="Tim.goto12" localSheetId="8">'1213 TR pages'!Tim.goto12</definedName>
    <definedName name="Tim.goto12" localSheetId="1">'PA Share price table'!Tim.goto12</definedName>
    <definedName name="Tim.goto12">[0]!Tim.goto12</definedName>
    <definedName name="Tim.goto13" localSheetId="9">'1112 TR pages'!Tim.goto13</definedName>
    <definedName name="Tim.goto13" localSheetId="8">'1213 TR pages'!Tim.goto13</definedName>
    <definedName name="Tim.goto13" localSheetId="1">'PA Share price table'!Tim.goto13</definedName>
    <definedName name="Tim.goto13">[0]!Tim.goto13</definedName>
    <definedName name="Tim.goto15" localSheetId="9">'1112 TR pages'!Tim.goto15</definedName>
    <definedName name="Tim.goto15" localSheetId="8">'1213 TR pages'!Tim.goto15</definedName>
    <definedName name="Tim.goto15" localSheetId="1">'PA Share price table'!Tim.goto15</definedName>
    <definedName name="Tim.goto15">[0]!Tim.goto15</definedName>
    <definedName name="Tim.goto16" localSheetId="9">'1112 TR pages'!Tim.goto16</definedName>
    <definedName name="Tim.goto16" localSheetId="8">'1213 TR pages'!Tim.goto16</definedName>
    <definedName name="Tim.goto16" localSheetId="1">'PA Share price table'!Tim.goto16</definedName>
    <definedName name="Tim.goto16">[0]!Tim.goto16</definedName>
    <definedName name="Tim.goto17" localSheetId="9">'1112 TR pages'!Tim.goto17</definedName>
    <definedName name="Tim.goto17" localSheetId="8">'1213 TR pages'!Tim.goto17</definedName>
    <definedName name="Tim.goto17" localSheetId="1">'PA Share price table'!Tim.goto17</definedName>
    <definedName name="Tim.goto17">[0]!Tim.goto17</definedName>
    <definedName name="Tim.goto18" localSheetId="9">'1112 TR pages'!Tim.goto18</definedName>
    <definedName name="Tim.goto18" localSheetId="8">'1213 TR pages'!Tim.goto18</definedName>
    <definedName name="Tim.goto18" localSheetId="1">'PA Share price table'!Tim.goto18</definedName>
    <definedName name="Tim.goto18">[0]!Tim.goto18</definedName>
    <definedName name="Tim.goto19" localSheetId="9">'1112 TR pages'!Tim.goto19</definedName>
    <definedName name="Tim.goto19" localSheetId="8">'1213 TR pages'!Tim.goto19</definedName>
    <definedName name="Tim.goto19" localSheetId="1">'PA Share price table'!Tim.goto19</definedName>
    <definedName name="Tim.goto19">[0]!Tim.goto19</definedName>
    <definedName name="Tim.goto2" localSheetId="9">'1112 TR pages'!Tim.goto2</definedName>
    <definedName name="Tim.goto2" localSheetId="8">'1213 TR pages'!Tim.goto2</definedName>
    <definedName name="Tim.goto2" localSheetId="1">'PA Share price table'!Tim.goto2</definedName>
    <definedName name="Tim.goto2">[0]!Tim.goto2</definedName>
    <definedName name="Tim.goto20" localSheetId="9">'1112 TR pages'!Tim.goto20</definedName>
    <definedName name="Tim.goto20" localSheetId="8">'1213 TR pages'!Tim.goto20</definedName>
    <definedName name="Tim.goto20" localSheetId="1">'PA Share price table'!Tim.goto20</definedName>
    <definedName name="Tim.goto20">[0]!Tim.goto20</definedName>
    <definedName name="Tim.goto21" localSheetId="9">'1112 TR pages'!Tim.goto21</definedName>
    <definedName name="Tim.goto21" localSheetId="8">'1213 TR pages'!Tim.goto21</definedName>
    <definedName name="Tim.goto21" localSheetId="1">'PA Share price table'!Tim.goto21</definedName>
    <definedName name="Tim.goto21">[0]!Tim.goto21</definedName>
    <definedName name="Tim.goto22" localSheetId="9">'1112 TR pages'!Tim.goto22</definedName>
    <definedName name="Tim.goto22" localSheetId="8">'1213 TR pages'!Tim.goto22</definedName>
    <definedName name="Tim.goto22" localSheetId="1">'PA Share price table'!Tim.goto22</definedName>
    <definedName name="Tim.goto22">[0]!Tim.goto22</definedName>
    <definedName name="Tim.goto23" localSheetId="9">'1112 TR pages'!Tim.goto23</definedName>
    <definedName name="Tim.goto23" localSheetId="8">'1213 TR pages'!Tim.goto23</definedName>
    <definedName name="Tim.goto23" localSheetId="1">'PA Share price table'!Tim.goto23</definedName>
    <definedName name="Tim.goto23">[0]!Tim.goto23</definedName>
    <definedName name="Tim.goto24" localSheetId="9">'1112 TR pages'!Tim.goto24</definedName>
    <definedName name="Tim.goto24" localSheetId="8">'1213 TR pages'!Tim.goto24</definedName>
    <definedName name="Tim.goto24" localSheetId="1">'PA Share price table'!Tim.goto24</definedName>
    <definedName name="Tim.goto24">[0]!Tim.goto24</definedName>
    <definedName name="Tim.goto25" localSheetId="9">'1112 TR pages'!Tim.goto25</definedName>
    <definedName name="Tim.goto25" localSheetId="8">'1213 TR pages'!Tim.goto25</definedName>
    <definedName name="Tim.goto25" localSheetId="1">'PA Share price table'!Tim.goto25</definedName>
    <definedName name="Tim.goto25">[0]!Tim.goto25</definedName>
    <definedName name="Tim.goto3" localSheetId="9">'1112 TR pages'!Tim.goto3</definedName>
    <definedName name="Tim.goto3" localSheetId="8">'1213 TR pages'!Tim.goto3</definedName>
    <definedName name="Tim.goto3" localSheetId="1">'PA Share price table'!Tim.goto3</definedName>
    <definedName name="Tim.goto3">[0]!Tim.goto3</definedName>
    <definedName name="Tim.goto4" localSheetId="9">'1112 TR pages'!Tim.goto4</definedName>
    <definedName name="Tim.goto4" localSheetId="8">'1213 TR pages'!Tim.goto4</definedName>
    <definedName name="Tim.goto4" localSheetId="1">'PA Share price table'!Tim.goto4</definedName>
    <definedName name="Tim.goto4">[0]!Tim.goto4</definedName>
    <definedName name="Tim.goto5" localSheetId="9">'1112 TR pages'!Tim.goto5</definedName>
    <definedName name="Tim.goto5" localSheetId="8">'1213 TR pages'!Tim.goto5</definedName>
    <definedName name="Tim.goto5" localSheetId="1">'PA Share price table'!Tim.goto5</definedName>
    <definedName name="Tim.goto5">[0]!Tim.goto5</definedName>
    <definedName name="Tim.goto6" localSheetId="9">'1112 TR pages'!Tim.goto6</definedName>
    <definedName name="Tim.goto6" localSheetId="8">'1213 TR pages'!Tim.goto6</definedName>
    <definedName name="Tim.goto6" localSheetId="1">'PA Share price table'!Tim.goto6</definedName>
    <definedName name="Tim.goto6">[0]!Tim.goto6</definedName>
    <definedName name="Tim.goto7" localSheetId="9">'1112 TR pages'!Tim.goto7</definedName>
    <definedName name="Tim.goto7" localSheetId="8">'1213 TR pages'!Tim.goto7</definedName>
    <definedName name="Tim.goto7" localSheetId="1">'PA Share price table'!Tim.goto7</definedName>
    <definedName name="Tim.goto7">[0]!Tim.goto7</definedName>
    <definedName name="Tim.goto8" localSheetId="9">'1112 TR pages'!Tim.goto8</definedName>
    <definedName name="Tim.goto8" localSheetId="8">'1213 TR pages'!Tim.goto8</definedName>
    <definedName name="Tim.goto8" localSheetId="1">'PA Share price table'!Tim.goto8</definedName>
    <definedName name="Tim.goto8">[0]!Tim.goto8</definedName>
    <definedName name="Tim.PrinterMac" localSheetId="9">'1112 TR pages'!Tim.PrinterMac</definedName>
    <definedName name="Tim.PrinterMac" localSheetId="8">'1213 TR pages'!Tim.PrinterMac</definedName>
    <definedName name="Tim.PrinterMac" localSheetId="1">'PA Share price table'!Tim.PrinterMac</definedName>
    <definedName name="Tim.PrinterMac">[0]!Tim.PrinterMac</definedName>
    <definedName name="Tim.Summary_adj2" localSheetId="9">'1112 TR pages'!Tim.Summary_adj2</definedName>
    <definedName name="Tim.Summary_adj2" localSheetId="8">'1213 TR pages'!Tim.Summary_adj2</definedName>
    <definedName name="Tim.Summary_adj2" localSheetId="1">'PA Share price table'!Tim.Summary_adj2</definedName>
    <definedName name="Tim.Summary_adj2">[0]!Tim.Summary_adj2</definedName>
    <definedName name="Tim.Summary_gs2" localSheetId="9">'1112 TR pages'!Tim.Summary_gs2</definedName>
    <definedName name="Tim.Summary_gs2" localSheetId="8">'1213 TR pages'!Tim.Summary_gs2</definedName>
    <definedName name="Tim.Summary_gs2" localSheetId="1">'PA Share price table'!Tim.Summary_gs2</definedName>
    <definedName name="Tim.Summary_gs2">[0]!Tim.Summary_gs2</definedName>
    <definedName name="Tim.Summary_gu2" localSheetId="9">'1112 TR pages'!Tim.Summary_gu2</definedName>
    <definedName name="Tim.Summary_gu2" localSheetId="8">'1213 TR pages'!Tim.Summary_gu2</definedName>
    <definedName name="Tim.Summary_gu2" localSheetId="1">'PA Share price table'!Tim.Summary_gu2</definedName>
    <definedName name="Tim.Summary_gu2">[0]!Tim.Summary_gu2</definedName>
    <definedName name="Tim.Summary_ws2" localSheetId="9">'1112 TR pages'!Tim.Summary_ws2</definedName>
    <definedName name="Tim.Summary_ws2" localSheetId="8">'1213 TR pages'!Tim.Summary_ws2</definedName>
    <definedName name="Tim.Summary_ws2" localSheetId="1">'PA Share price table'!Tim.Summary_ws2</definedName>
    <definedName name="Tim.Summary_ws2">[0]!Tim.Summary_ws2</definedName>
    <definedName name="Tim.USformat" localSheetId="9">'1112 TR pages'!Tim.USformat</definedName>
    <definedName name="Tim.USformat" localSheetId="8">'1213 TR pages'!Tim.USformat</definedName>
    <definedName name="Tim.USformat" localSheetId="1">'PA Share price table'!Tim.USformat</definedName>
    <definedName name="Tim.USformat">[0]!Tim.USformat</definedName>
    <definedName name="tryit" localSheetId="9">'1112 TR pages'!tryit</definedName>
    <definedName name="tryit" localSheetId="8">'1213 TR pages'!tryit</definedName>
    <definedName name="tryit" localSheetId="1">'PA Share price table'!tryit</definedName>
    <definedName name="tryit">[0]!tryit</definedName>
    <definedName name="tryit2" localSheetId="9">'1112 TR pages'!tryit2</definedName>
    <definedName name="tryit2" localSheetId="8">'1213 TR pages'!tryit2</definedName>
    <definedName name="tryit2" localSheetId="1">'PA Share price table'!tryit2</definedName>
    <definedName name="tryit2">[0]!tryit2</definedName>
    <definedName name="UnRestrictedCumulativeTotal" localSheetId="8">#REF!</definedName>
    <definedName name="UnRestrictedCumulativeTotal" localSheetId="5">#REF!</definedName>
    <definedName name="UnRestrictedCumulativeTotal">#REF!</definedName>
    <definedName name="UnRestrictedHeaderRow" localSheetId="8">#REF!</definedName>
    <definedName name="UnRestrictedHeaderRow" localSheetId="5">#REF!</definedName>
    <definedName name="UnRestrictedHeaderRow">#REF!</definedName>
    <definedName name="UnRestrictedTotalPurchases" localSheetId="8">#REF!</definedName>
    <definedName name="UnRestrictedTotalPurchases" localSheetId="5">#REF!</definedName>
    <definedName name="UnRestrictedTotalPurchases">#REF!</definedName>
    <definedName name="UnRestrictedTotalSales" localSheetId="8">#REF!</definedName>
    <definedName name="UnRestrictedTotalSales" localSheetId="5">#REF!</definedName>
    <definedName name="UnRestrictedTotalSales">#REF!</definedName>
    <definedName name="Version_No" localSheetId="8">#REF!</definedName>
    <definedName name="Version_No" localSheetId="5">#REF!</definedName>
    <definedName name="Version_No">#REF!</definedName>
    <definedName name="wrn.Corporate." localSheetId="9" hidden="1">{"Corporate",#N/A,FALSE,"Sorted by database"}</definedName>
    <definedName name="wrn.Corporate." localSheetId="8" hidden="1">{"Corporate",#N/A,FALSE,"Sorted by database"}</definedName>
    <definedName name="wrn.Corporate." localSheetId="1" hidden="1">{"Corporate",#N/A,FALSE,"Sorted by database"}</definedName>
    <definedName name="wrn.Corporate." hidden="1">{"Corporate",#N/A,FALSE,"Sorted by database"}</definedName>
    <definedName name="wrn.MOS4." localSheetId="9" hidden="1">{"MOS4",#N/A,FALSE,"Sorted by database"}</definedName>
    <definedName name="wrn.MOS4." localSheetId="8" hidden="1">{"MOS4",#N/A,FALSE,"Sorted by database"}</definedName>
    <definedName name="wrn.MOS4." localSheetId="1" hidden="1">{"MOS4",#N/A,FALSE,"Sorted by database"}</definedName>
    <definedName name="wrn.MOS4." hidden="1">{"MOS4",#N/A,FALSE,"Sorted by database"}</definedName>
    <definedName name="wrn.Offices." localSheetId="9" hidden="1">{"Offices",#N/A,FALSE,"Sorted by database"}</definedName>
    <definedName name="wrn.Offices." localSheetId="8" hidden="1">{"Offices",#N/A,FALSE,"Sorted by database"}</definedName>
    <definedName name="wrn.Offices." localSheetId="1" hidden="1">{"Offices",#N/A,FALSE,"Sorted by database"}</definedName>
    <definedName name="wrn.Offices." hidden="1">{"Offices",#N/A,FALSE,"Sorted by database"}</definedName>
    <definedName name="wrn.Practices." localSheetId="9" hidden="1">{"Practices",#N/A,FALSE,"Sorted by database"}</definedName>
    <definedName name="wrn.Practices." localSheetId="8" hidden="1">{"Practices",#N/A,FALSE,"Sorted by database"}</definedName>
    <definedName name="wrn.Practices." localSheetId="1" hidden="1">{"Practices",#N/A,FALSE,"Sorted by database"}</definedName>
    <definedName name="wrn.Practices." hidden="1">{"Practices",#N/A,FALSE,"Sorted by database"}</definedName>
    <definedName name="wrn.Support." localSheetId="9" hidden="1">{"Support",#N/A,FALSE,"Sorted by database"}</definedName>
    <definedName name="wrn.Support." localSheetId="8" hidden="1">{"Support",#N/A,FALSE,"Sorted by database"}</definedName>
    <definedName name="wrn.Support." localSheetId="1" hidden="1">{"Support",#N/A,FALSE,"Sorted by database"}</definedName>
    <definedName name="wrn.Support." hidden="1">{"Support",#N/A,FALSE,"Sorted by database"}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8" i="20" l="1"/>
  <c r="E69" i="20" l="1"/>
  <c r="D69" i="20"/>
  <c r="C69" i="20"/>
  <c r="B69" i="20"/>
  <c r="A69" i="20"/>
  <c r="B27" i="20"/>
  <c r="A15" i="20"/>
  <c r="G24" i="17"/>
  <c r="G23" i="17"/>
  <c r="G22" i="17"/>
  <c r="G20" i="17"/>
  <c r="G18" i="17"/>
  <c r="B15" i="20"/>
  <c r="A27" i="20" s="1"/>
  <c r="B142" i="5" l="1"/>
  <c r="H149" i="5" l="1"/>
  <c r="H148" i="5"/>
  <c r="H147" i="5"/>
  <c r="H146" i="5"/>
  <c r="D149" i="5"/>
  <c r="C149" i="5"/>
  <c r="D148" i="5"/>
  <c r="C148" i="5"/>
  <c r="D147" i="5"/>
  <c r="D146" i="5"/>
  <c r="C146" i="5"/>
  <c r="L149" i="5" l="1"/>
  <c r="L148" i="5"/>
  <c r="L147" i="5"/>
  <c r="L146" i="5"/>
  <c r="C147" i="5"/>
  <c r="M151" i="5" l="1"/>
  <c r="O128" i="5"/>
  <c r="B141" i="5" l="1"/>
  <c r="B10" i="20"/>
  <c r="A14" i="20" s="1"/>
  <c r="P15" i="5"/>
  <c r="O15" i="5"/>
  <c r="P130" i="5"/>
  <c r="C73" i="20"/>
  <c r="A73" i="20" s="1"/>
  <c r="C74" i="20"/>
  <c r="C72" i="20"/>
  <c r="C71" i="20"/>
  <c r="C70" i="20"/>
  <c r="O129" i="5"/>
  <c r="O121" i="5"/>
  <c r="A70" i="20" l="1"/>
  <c r="D70" i="20"/>
  <c r="C10" i="20"/>
  <c r="D10" i="20"/>
  <c r="B26" i="20" s="1"/>
  <c r="D72" i="20"/>
  <c r="B73" i="20"/>
  <c r="D73" i="20"/>
  <c r="F116" i="5" l="1"/>
  <c r="C26" i="3" l="1"/>
  <c r="B31" i="18"/>
  <c r="D32" i="18" s="1"/>
  <c r="D33" i="19" s="1"/>
  <c r="A18" i="19" l="1"/>
  <c r="B70" i="20" l="1"/>
  <c r="A25" i="20"/>
  <c r="B17" i="18"/>
  <c r="A28" i="20"/>
  <c r="C76" i="20" l="1"/>
  <c r="A72" i="20"/>
  <c r="B72" i="20" s="1"/>
  <c r="A74" i="20"/>
  <c r="B74" i="20" s="1"/>
  <c r="A71" i="20"/>
  <c r="B71" i="20" s="1"/>
  <c r="A19" i="19"/>
  <c r="A29" i="19" s="1"/>
  <c r="B29" i="19"/>
  <c r="B28" i="19"/>
  <c r="A76" i="20" l="1"/>
  <c r="B76" i="20" s="1"/>
  <c r="D76" i="20"/>
  <c r="A31" i="19"/>
  <c r="E76" i="20" l="1"/>
  <c r="B61" i="19"/>
  <c r="B58" i="18"/>
  <c r="O130" i="5" l="1"/>
  <c r="D74" i="20" s="1"/>
  <c r="P127" i="5"/>
  <c r="O127" i="5"/>
  <c r="O125" i="5"/>
  <c r="C80" i="19"/>
  <c r="D80" i="19" s="1"/>
  <c r="E80" i="19" s="1"/>
  <c r="C79" i="19"/>
  <c r="D79" i="19" s="1"/>
  <c r="E79" i="19" s="1"/>
  <c r="C78" i="19"/>
  <c r="D78" i="19" s="1"/>
  <c r="E78" i="19" s="1"/>
  <c r="B59" i="19" s="1"/>
  <c r="C77" i="19"/>
  <c r="D77" i="19" s="1"/>
  <c r="E77" i="19" s="1"/>
  <c r="C76" i="19"/>
  <c r="F76" i="19" s="1"/>
  <c r="C75" i="19"/>
  <c r="D75" i="19" s="1"/>
  <c r="E75" i="19" s="1"/>
  <c r="C74" i="19"/>
  <c r="F74" i="19" s="1"/>
  <c r="C73" i="19"/>
  <c r="F73" i="19" s="1"/>
  <c r="C72" i="19"/>
  <c r="D72" i="19" s="1"/>
  <c r="D71" i="20" l="1"/>
  <c r="E74" i="20"/>
  <c r="D74" i="19"/>
  <c r="E74" i="19" s="1"/>
  <c r="F77" i="19"/>
  <c r="E72" i="19"/>
  <c r="D76" i="19"/>
  <c r="E76" i="19" s="1"/>
  <c r="D73" i="19"/>
  <c r="E73" i="19" s="1"/>
  <c r="A72" i="19"/>
  <c r="B72" i="19" s="1"/>
  <c r="A27" i="19"/>
  <c r="A28" i="19"/>
  <c r="E71" i="20" l="1"/>
  <c r="B14" i="19"/>
  <c r="A20" i="19" l="1"/>
  <c r="A30" i="19" s="1"/>
  <c r="C81" i="19"/>
  <c r="A80" i="19"/>
  <c r="B80" i="19" s="1"/>
  <c r="A79" i="19"/>
  <c r="B79" i="19" s="1"/>
  <c r="A77" i="19"/>
  <c r="B77" i="19" s="1"/>
  <c r="A76" i="19"/>
  <c r="B76" i="19" s="1"/>
  <c r="A75" i="19"/>
  <c r="B75" i="19" s="1"/>
  <c r="A73" i="19"/>
  <c r="B73" i="19" s="1"/>
  <c r="A81" i="19" l="1"/>
  <c r="B81" i="19" s="1"/>
  <c r="D81" i="19"/>
  <c r="E81" i="19" s="1"/>
  <c r="F81" i="19"/>
  <c r="B47" i="19"/>
  <c r="A74" i="19"/>
  <c r="B74" i="19" s="1"/>
  <c r="A78" i="19"/>
  <c r="B78" i="19" s="1"/>
  <c r="A110" i="19"/>
  <c r="E82" i="19" l="1"/>
  <c r="B50" i="19" s="1"/>
  <c r="D82" i="19"/>
  <c r="E26" i="17"/>
  <c r="B49" i="19" l="1"/>
  <c r="B48" i="19"/>
  <c r="C110" i="19"/>
  <c r="A116" i="19"/>
  <c r="A113" i="19"/>
  <c r="C77" i="18" l="1"/>
  <c r="C55" i="14"/>
  <c r="C51" i="13"/>
  <c r="A51" i="13" s="1"/>
  <c r="B51" i="13" s="1"/>
  <c r="C50" i="13"/>
  <c r="D50" i="13" s="1"/>
  <c r="C49" i="13"/>
  <c r="A49" i="13" s="1"/>
  <c r="B49" i="13" s="1"/>
  <c r="C43" i="10"/>
  <c r="C44" i="10"/>
  <c r="A44" i="10" s="1"/>
  <c r="D49" i="13" l="1"/>
  <c r="E49" i="13" s="1"/>
  <c r="A43" i="10"/>
  <c r="B43" i="10" s="1"/>
  <c r="D43" i="10"/>
  <c r="E43" i="10" s="1"/>
  <c r="D51" i="13"/>
  <c r="E51" i="13" s="1"/>
  <c r="E50" i="13"/>
  <c r="A50" i="13"/>
  <c r="B50" i="13" s="1"/>
  <c r="D44" i="10"/>
  <c r="B44" i="10"/>
  <c r="C83" i="5"/>
  <c r="E44" i="10" l="1"/>
  <c r="C54" i="14" l="1"/>
  <c r="A77" i="18"/>
  <c r="B77" i="18" s="1"/>
  <c r="C76" i="18"/>
  <c r="D10" i="18"/>
  <c r="O111" i="5"/>
  <c r="O109" i="5"/>
  <c r="A55" i="14" l="1"/>
  <c r="B55" i="14" s="1"/>
  <c r="A54" i="14"/>
  <c r="B54" i="14" s="1"/>
  <c r="A76" i="18"/>
  <c r="B76" i="18" s="1"/>
  <c r="O122" i="5"/>
  <c r="O118" i="5"/>
  <c r="P117" i="5"/>
  <c r="O117" i="5"/>
  <c r="E116" i="5"/>
  <c r="P115" i="5"/>
  <c r="O115" i="5"/>
  <c r="O114" i="5"/>
  <c r="P112" i="5"/>
  <c r="O112" i="5"/>
  <c r="P111" i="5"/>
  <c r="C75" i="18"/>
  <c r="D75" i="18" s="1"/>
  <c r="C74" i="18"/>
  <c r="C73" i="18"/>
  <c r="C72" i="18"/>
  <c r="D72" i="18" s="1"/>
  <c r="C71" i="18"/>
  <c r="C70" i="18"/>
  <c r="D70" i="18" s="1"/>
  <c r="E70" i="18" s="1"/>
  <c r="C69" i="18"/>
  <c r="A29" i="18"/>
  <c r="A25" i="18"/>
  <c r="A17" i="18"/>
  <c r="A26" i="18" s="1"/>
  <c r="B26" i="18"/>
  <c r="B17" i="19" l="1"/>
  <c r="E75" i="18"/>
  <c r="E72" i="18"/>
  <c r="A71" i="18"/>
  <c r="B71" i="18" s="1"/>
  <c r="F71" i="18"/>
  <c r="A69" i="18"/>
  <c r="B69" i="18" s="1"/>
  <c r="A73" i="18"/>
  <c r="B73" i="18" s="1"/>
  <c r="D73" i="18"/>
  <c r="E73" i="18" s="1"/>
  <c r="F73" i="18"/>
  <c r="A70" i="18"/>
  <c r="B70" i="18" s="1"/>
  <c r="F70" i="18"/>
  <c r="A74" i="18"/>
  <c r="B74" i="18" s="1"/>
  <c r="F74" i="18"/>
  <c r="D71" i="18"/>
  <c r="E71" i="18" s="1"/>
  <c r="D74" i="18"/>
  <c r="E74" i="18" s="1"/>
  <c r="D69" i="18"/>
  <c r="E69" i="18" s="1"/>
  <c r="A75" i="18"/>
  <c r="B75" i="18" s="1"/>
  <c r="A72" i="18"/>
  <c r="B72" i="18" s="1"/>
  <c r="C29" i="3" l="1"/>
  <c r="E19" i="17" l="1"/>
  <c r="G19" i="17" s="1"/>
  <c r="B13" i="14" l="1"/>
  <c r="E21" i="17"/>
  <c r="F24" i="17"/>
  <c r="B33" i="17" s="1"/>
  <c r="B14" i="20" s="1"/>
  <c r="A26" i="20" s="1"/>
  <c r="F23" i="17"/>
  <c r="B32" i="17" s="1"/>
  <c r="B20" i="19" s="1"/>
  <c r="B22" i="19" s="1"/>
  <c r="B23" i="19" s="1"/>
  <c r="F22" i="17"/>
  <c r="F20" i="17"/>
  <c r="F18" i="17"/>
  <c r="B30" i="17" s="1"/>
  <c r="B13" i="18" l="1"/>
  <c r="A18" i="18" s="1"/>
  <c r="A27" i="18" s="1"/>
  <c r="G21" i="17"/>
  <c r="C78" i="18"/>
  <c r="F78" i="18" s="1"/>
  <c r="C57" i="14"/>
  <c r="A57" i="14" s="1"/>
  <c r="B57" i="14" s="1"/>
  <c r="A18" i="14"/>
  <c r="F21" i="17"/>
  <c r="F19" i="17"/>
  <c r="P80" i="5"/>
  <c r="O80" i="5"/>
  <c r="O79" i="5"/>
  <c r="B31" i="17" l="1"/>
  <c r="B18" i="18" s="1"/>
  <c r="D78" i="18"/>
  <c r="A78" i="18"/>
  <c r="B18" i="14"/>
  <c r="F49" i="5"/>
  <c r="E49" i="5"/>
  <c r="E65" i="5"/>
  <c r="E84" i="5"/>
  <c r="E100" i="5"/>
  <c r="F100" i="5"/>
  <c r="F84" i="5"/>
  <c r="F65" i="5" l="1"/>
  <c r="C56" i="14" l="1"/>
  <c r="D57" i="14"/>
  <c r="P77" i="5" l="1"/>
  <c r="P76" i="5"/>
  <c r="O77" i="5"/>
  <c r="O76" i="5"/>
  <c r="O74" i="5"/>
  <c r="F20" i="5" l="1"/>
  <c r="D56" i="14" l="1"/>
  <c r="E56" i="14" s="1"/>
  <c r="C51" i="14"/>
  <c r="A51" i="14" s="1"/>
  <c r="B51" i="14" s="1"/>
  <c r="A17" i="14"/>
  <c r="A26" i="14" s="1"/>
  <c r="A27" i="14"/>
  <c r="B17" i="14"/>
  <c r="D10" i="14"/>
  <c r="B26" i="14" s="1"/>
  <c r="D30" i="5"/>
  <c r="D16" i="5"/>
  <c r="A56" i="14" l="1"/>
  <c r="D51" i="14"/>
  <c r="E51" i="14" l="1"/>
  <c r="G51" i="14"/>
  <c r="C50" i="14"/>
  <c r="C49" i="14"/>
  <c r="C48" i="14"/>
  <c r="C47" i="14"/>
  <c r="O64" i="5"/>
  <c r="D47" i="14" l="1"/>
  <c r="A47" i="14"/>
  <c r="B47" i="14" s="1"/>
  <c r="A48" i="14"/>
  <c r="B48" i="14" s="1"/>
  <c r="A49" i="14"/>
  <c r="B49" i="14" s="1"/>
  <c r="A50" i="14"/>
  <c r="B50" i="14" s="1"/>
  <c r="C18" i="3"/>
  <c r="E47" i="14" l="1"/>
  <c r="O93" i="5"/>
  <c r="O106" i="5"/>
  <c r="D77" i="18" s="1"/>
  <c r="O105" i="5"/>
  <c r="D76" i="18" s="1"/>
  <c r="O102" i="5"/>
  <c r="P101" i="5"/>
  <c r="O101" i="5"/>
  <c r="P99" i="5"/>
  <c r="O99" i="5"/>
  <c r="O98" i="5"/>
  <c r="P96" i="5"/>
  <c r="O96" i="5"/>
  <c r="P95" i="5"/>
  <c r="O95" i="5"/>
  <c r="C14" i="5"/>
  <c r="B16" i="18" l="1"/>
  <c r="B20" i="18" s="1"/>
  <c r="B21" i="18" s="1"/>
  <c r="C63" i="13"/>
  <c r="C52" i="13"/>
  <c r="A52" i="13" s="1"/>
  <c r="B14" i="13"/>
  <c r="D52" i="13" l="1"/>
  <c r="E52" i="13" s="1"/>
  <c r="H52" i="13" s="1"/>
  <c r="C43" i="13"/>
  <c r="C44" i="13"/>
  <c r="F51" i="14" s="1"/>
  <c r="C45" i="13"/>
  <c r="C46" i="13"/>
  <c r="A46" i="13" s="1"/>
  <c r="B46" i="13" s="1"/>
  <c r="C47" i="13"/>
  <c r="A47" i="13" s="1"/>
  <c r="B47" i="13" s="1"/>
  <c r="C48" i="13"/>
  <c r="A48" i="13" s="1"/>
  <c r="B48" i="13" s="1"/>
  <c r="C52" i="14"/>
  <c r="C53" i="14"/>
  <c r="D10" i="13"/>
  <c r="B22" i="13" s="1"/>
  <c r="B64" i="14" l="1"/>
  <c r="A101" i="14"/>
  <c r="A52" i="14"/>
  <c r="B52" i="14" s="1"/>
  <c r="A53" i="14"/>
  <c r="B53" i="14" s="1"/>
  <c r="A43" i="13"/>
  <c r="B43" i="13" s="1"/>
  <c r="G56" i="14"/>
  <c r="D53" i="14"/>
  <c r="D43" i="13"/>
  <c r="E43" i="13" s="1"/>
  <c r="A86" i="13"/>
  <c r="A44" i="13"/>
  <c r="B44" i="13" s="1"/>
  <c r="A45" i="13"/>
  <c r="B45" i="13" s="1"/>
  <c r="A28" i="14" l="1"/>
  <c r="A25" i="14"/>
  <c r="O90" i="5"/>
  <c r="D55" i="14" s="1"/>
  <c r="O89" i="5"/>
  <c r="D54" i="14" s="1"/>
  <c r="O86" i="5"/>
  <c r="P85" i="5"/>
  <c r="O85" i="5"/>
  <c r="D50" i="14"/>
  <c r="D48" i="14"/>
  <c r="B16" i="14" l="1"/>
  <c r="B20" i="14" s="1"/>
  <c r="B21" i="14" s="1"/>
  <c r="D49" i="14"/>
  <c r="E49" i="14" s="1"/>
  <c r="E48" i="14"/>
  <c r="D52" i="14"/>
  <c r="E52" i="14" s="1"/>
  <c r="F50" i="14"/>
  <c r="D58" i="14" l="1"/>
  <c r="G49" i="14"/>
  <c r="G52" i="14"/>
  <c r="A14" i="13"/>
  <c r="B65" i="14" l="1"/>
  <c r="A21" i="13"/>
  <c r="A22" i="13" l="1"/>
  <c r="G7" i="5" l="1"/>
  <c r="G8" i="5" s="1"/>
  <c r="G9" i="5" s="1"/>
  <c r="G10" i="5" s="1"/>
  <c r="G11" i="5" s="1"/>
  <c r="G13" i="5" s="1"/>
  <c r="G14" i="5" s="1"/>
  <c r="G15" i="5" s="1"/>
  <c r="G17" i="5" s="1"/>
  <c r="G18" i="5" s="1"/>
  <c r="G19" i="5" s="1"/>
  <c r="G20" i="5" s="1"/>
  <c r="G21" i="5" s="1"/>
  <c r="G22" i="5" s="1"/>
  <c r="G23" i="5" s="1"/>
  <c r="G24" i="5" s="1"/>
  <c r="G25" i="5" s="1"/>
  <c r="G29" i="5" s="1"/>
  <c r="G31" i="5" s="1"/>
  <c r="G32" i="5" s="1"/>
  <c r="G33" i="5" s="1"/>
  <c r="H7" i="5"/>
  <c r="M7" i="5"/>
  <c r="L7" i="5"/>
  <c r="L13" i="5" s="1"/>
  <c r="C38" i="10"/>
  <c r="A38" i="10" s="1"/>
  <c r="B38" i="10" s="1"/>
  <c r="C39" i="10"/>
  <c r="F39" i="10" s="1"/>
  <c r="C40" i="10"/>
  <c r="C41" i="10"/>
  <c r="C42" i="10"/>
  <c r="A42" i="10" s="1"/>
  <c r="B42" i="10" s="1"/>
  <c r="O67" i="5"/>
  <c r="P50" i="5"/>
  <c r="P35" i="5"/>
  <c r="O54" i="5"/>
  <c r="F34" i="5"/>
  <c r="G34" i="5" s="1"/>
  <c r="G35" i="5" s="1"/>
  <c r="G37" i="5" s="1"/>
  <c r="G38" i="5" s="1"/>
  <c r="G39" i="5" s="1"/>
  <c r="G40" i="5" s="1"/>
  <c r="G44" i="5" s="1"/>
  <c r="G46" i="5" s="1"/>
  <c r="G47" i="5" s="1"/>
  <c r="G48" i="5" s="1"/>
  <c r="G49" i="5" s="1"/>
  <c r="G50" i="5" s="1"/>
  <c r="G51" i="5" s="1"/>
  <c r="G52" i="5" s="1"/>
  <c r="G53" i="5" s="1"/>
  <c r="G54" i="5" s="1"/>
  <c r="G58" i="5" s="1"/>
  <c r="G60" i="5" s="1"/>
  <c r="G61" i="5" s="1"/>
  <c r="G62" i="5" s="1"/>
  <c r="G63" i="5" s="1"/>
  <c r="G64" i="5" s="1"/>
  <c r="G65" i="5" s="1"/>
  <c r="G66" i="5" s="1"/>
  <c r="G67" i="5" s="1"/>
  <c r="G68" i="5" s="1"/>
  <c r="G69" i="5" s="1"/>
  <c r="G70" i="5" s="1"/>
  <c r="G74" i="5" s="1"/>
  <c r="G76" i="5" s="1"/>
  <c r="G77" i="5" s="1"/>
  <c r="G78" i="5" s="1"/>
  <c r="G79" i="5" s="1"/>
  <c r="G80" i="5" s="1"/>
  <c r="G81" i="5" s="1"/>
  <c r="G82" i="5" s="1"/>
  <c r="G83" i="5" s="1"/>
  <c r="G84" i="5" s="1"/>
  <c r="G85" i="5" s="1"/>
  <c r="G86" i="5" s="1"/>
  <c r="G87" i="5" s="1"/>
  <c r="G88" i="5" s="1"/>
  <c r="G89" i="5" s="1"/>
  <c r="G93" i="5" s="1"/>
  <c r="G95" i="5" s="1"/>
  <c r="G96" i="5" s="1"/>
  <c r="G97" i="5" s="1"/>
  <c r="G98" i="5" s="1"/>
  <c r="G99" i="5" s="1"/>
  <c r="G100" i="5" s="1"/>
  <c r="G101" i="5" s="1"/>
  <c r="G102" i="5" s="1"/>
  <c r="G103" i="5" s="1"/>
  <c r="G104" i="5" s="1"/>
  <c r="G105" i="5" s="1"/>
  <c r="O71" i="5"/>
  <c r="O55" i="5"/>
  <c r="O70" i="5"/>
  <c r="O51" i="5"/>
  <c r="O63" i="5"/>
  <c r="O48" i="5"/>
  <c r="O58" i="5"/>
  <c r="O44" i="5"/>
  <c r="A23" i="13"/>
  <c r="O50" i="5"/>
  <c r="C46" i="9"/>
  <c r="D46" i="9" s="1"/>
  <c r="O41" i="5"/>
  <c r="C38" i="9"/>
  <c r="A38" i="9" s="1"/>
  <c r="B38" i="9" s="1"/>
  <c r="C39" i="9"/>
  <c r="E39" i="9" s="1"/>
  <c r="C40" i="9"/>
  <c r="D40" i="9" s="1"/>
  <c r="E40" i="9" s="1"/>
  <c r="C41" i="9"/>
  <c r="D41" i="9" s="1"/>
  <c r="E41" i="9" s="1"/>
  <c r="C42" i="9"/>
  <c r="D42" i="9" s="1"/>
  <c r="E42" i="9" s="1"/>
  <c r="C43" i="9"/>
  <c r="D43" i="9" s="1"/>
  <c r="E43" i="9" s="1"/>
  <c r="C45" i="9"/>
  <c r="O35" i="5"/>
  <c r="A18" i="10"/>
  <c r="A19" i="10"/>
  <c r="A70" i="10"/>
  <c r="D7" i="6"/>
  <c r="D6" i="6"/>
  <c r="O29" i="5"/>
  <c r="O33" i="5"/>
  <c r="O37" i="5"/>
  <c r="O40" i="5"/>
  <c r="A18" i="9"/>
  <c r="E34" i="5"/>
  <c r="A19" i="9"/>
  <c r="A72" i="9"/>
  <c r="D10" i="4"/>
  <c r="B22" i="4" s="1"/>
  <c r="O21" i="5"/>
  <c r="O8" i="5"/>
  <c r="O19" i="5"/>
  <c r="O22" i="5"/>
  <c r="O25" i="5"/>
  <c r="O26" i="5"/>
  <c r="A14" i="4"/>
  <c r="A22" i="4" s="1"/>
  <c r="B14" i="4"/>
  <c r="A21" i="4"/>
  <c r="P21" i="5"/>
  <c r="A23" i="4"/>
  <c r="C42" i="4"/>
  <c r="E42" i="4" s="1"/>
  <c r="C43" i="4"/>
  <c r="A43" i="4" s="1"/>
  <c r="B43" i="4" s="1"/>
  <c r="C44" i="4"/>
  <c r="D44" i="4" s="1"/>
  <c r="E44" i="4" s="1"/>
  <c r="C45" i="4"/>
  <c r="A45" i="4" s="1"/>
  <c r="B45" i="4" s="1"/>
  <c r="C46" i="4"/>
  <c r="F46" i="4" s="1"/>
  <c r="C47" i="4"/>
  <c r="A47" i="4" s="1"/>
  <c r="C48" i="4"/>
  <c r="D48" i="4" s="1"/>
  <c r="C49" i="4"/>
  <c r="A49" i="4" s="1"/>
  <c r="B49" i="4" s="1"/>
  <c r="A75" i="4"/>
  <c r="E20" i="5"/>
  <c r="H105" i="5" l="1"/>
  <c r="H109" i="5" s="1"/>
  <c r="H111" i="5" s="1"/>
  <c r="H112" i="5" s="1"/>
  <c r="H113" i="5" s="1"/>
  <c r="H114" i="5" s="1"/>
  <c r="H115" i="5" s="1"/>
  <c r="H116" i="5" s="1"/>
  <c r="H117" i="5" s="1"/>
  <c r="H118" i="5" s="1"/>
  <c r="H119" i="5" s="1"/>
  <c r="H120" i="5" s="1"/>
  <c r="G109" i="5"/>
  <c r="G111" i="5" s="1"/>
  <c r="G112" i="5" s="1"/>
  <c r="G113" i="5" s="1"/>
  <c r="G114" i="5" s="1"/>
  <c r="G115" i="5" s="1"/>
  <c r="G116" i="5" s="1"/>
  <c r="G117" i="5" s="1"/>
  <c r="G118" i="5" s="1"/>
  <c r="G119" i="5" s="1"/>
  <c r="G120" i="5" s="1"/>
  <c r="G121" i="5" s="1"/>
  <c r="D45" i="9"/>
  <c r="M13" i="5"/>
  <c r="M14" i="5" s="1"/>
  <c r="L14" i="5"/>
  <c r="R14" i="5"/>
  <c r="I7" i="5"/>
  <c r="H8" i="5"/>
  <c r="H9" i="5" s="1"/>
  <c r="H10" i="5" s="1"/>
  <c r="H11" i="5" s="1"/>
  <c r="H13" i="5" s="1"/>
  <c r="D7" i="5"/>
  <c r="D8" i="5" s="1"/>
  <c r="A45" i="9"/>
  <c r="B45" i="9" s="1"/>
  <c r="A39" i="9"/>
  <c r="B39" i="9" s="1"/>
  <c r="E47" i="4"/>
  <c r="D42" i="4"/>
  <c r="A46" i="9"/>
  <c r="B46" i="9" s="1"/>
  <c r="A42" i="4"/>
  <c r="B42" i="4" s="1"/>
  <c r="A40" i="9"/>
  <c r="B40" i="9" s="1"/>
  <c r="D46" i="13"/>
  <c r="D42" i="10"/>
  <c r="D41" i="10"/>
  <c r="E41" i="10" s="1"/>
  <c r="D40" i="10"/>
  <c r="A40" i="10"/>
  <c r="B40" i="10" s="1"/>
  <c r="D38" i="10"/>
  <c r="A46" i="4"/>
  <c r="B46" i="4" s="1"/>
  <c r="A39" i="10"/>
  <c r="B39" i="10" s="1"/>
  <c r="D47" i="4"/>
  <c r="F39" i="9"/>
  <c r="E43" i="4"/>
  <c r="A42" i="9"/>
  <c r="B42" i="9" s="1"/>
  <c r="D43" i="4"/>
  <c r="A43" i="9"/>
  <c r="B43" i="9" s="1"/>
  <c r="D38" i="9"/>
  <c r="E38" i="9" s="1"/>
  <c r="F44" i="4"/>
  <c r="A48" i="4"/>
  <c r="B48" i="4" s="1"/>
  <c r="D49" i="4"/>
  <c r="A44" i="4"/>
  <c r="B44" i="4" s="1"/>
  <c r="A41" i="9"/>
  <c r="B41" i="9" s="1"/>
  <c r="F43" i="13"/>
  <c r="A84" i="10"/>
  <c r="D46" i="4"/>
  <c r="E46" i="4" s="1"/>
  <c r="D45" i="4"/>
  <c r="A89" i="4"/>
  <c r="F43" i="4"/>
  <c r="D39" i="9"/>
  <c r="A41" i="10"/>
  <c r="B41" i="10" s="1"/>
  <c r="E45" i="4"/>
  <c r="A86" i="9"/>
  <c r="H121" i="5" l="1"/>
  <c r="H125" i="5" s="1"/>
  <c r="H127" i="5" s="1"/>
  <c r="H130" i="5" s="1"/>
  <c r="H131" i="5" s="1"/>
  <c r="H132" i="5" s="1"/>
  <c r="H133" i="5" s="1"/>
  <c r="H134" i="5" s="1"/>
  <c r="H135" i="5" s="1"/>
  <c r="H136" i="5" s="1"/>
  <c r="G125" i="5"/>
  <c r="G127" i="5" s="1"/>
  <c r="G128" i="5" s="1"/>
  <c r="D9" i="5"/>
  <c r="M16" i="5"/>
  <c r="M20" i="5" s="1"/>
  <c r="M26" i="5" s="1"/>
  <c r="M30" i="5" s="1"/>
  <c r="M34" i="5" s="1"/>
  <c r="M36" i="5" s="1"/>
  <c r="M41" i="5" s="1"/>
  <c r="M45" i="5" s="1"/>
  <c r="M49" i="5" s="1"/>
  <c r="M55" i="5" s="1"/>
  <c r="M59" i="5" s="1"/>
  <c r="M65" i="5" s="1"/>
  <c r="M71" i="5" s="1"/>
  <c r="M75" i="5" s="1"/>
  <c r="M82" i="5" s="1"/>
  <c r="M83" i="5" s="1"/>
  <c r="S83" i="5" s="1"/>
  <c r="S14" i="5"/>
  <c r="L16" i="5"/>
  <c r="I14" i="5"/>
  <c r="D10" i="5"/>
  <c r="H14" i="5"/>
  <c r="I13" i="5"/>
  <c r="P8" i="5"/>
  <c r="D47" i="9"/>
  <c r="D50" i="4"/>
  <c r="A92" i="4" s="1"/>
  <c r="H128" i="5" l="1"/>
  <c r="G130" i="5"/>
  <c r="G131" i="5" s="1"/>
  <c r="G132" i="5" s="1"/>
  <c r="G133" i="5" s="1"/>
  <c r="G134" i="5" s="1"/>
  <c r="G135" i="5" s="1"/>
  <c r="G136" i="5" s="1"/>
  <c r="I16" i="5"/>
  <c r="J20" i="5" s="1"/>
  <c r="R13" i="5"/>
  <c r="H15" i="5"/>
  <c r="H17" i="5" s="1"/>
  <c r="H18" i="5" s="1"/>
  <c r="H19" i="5" s="1"/>
  <c r="H20" i="5" s="1"/>
  <c r="H21" i="5" s="1"/>
  <c r="H22" i="5" s="1"/>
  <c r="H23" i="5" s="1"/>
  <c r="H24" i="5" s="1"/>
  <c r="S13" i="5"/>
  <c r="S15" i="5" s="1"/>
  <c r="L20" i="5"/>
  <c r="A89" i="9"/>
  <c r="D11" i="5" l="1"/>
  <c r="M84" i="5"/>
  <c r="M90" i="5" s="1"/>
  <c r="B7" i="17"/>
  <c r="R15" i="5"/>
  <c r="B6" i="17" s="1"/>
  <c r="D13" i="5"/>
  <c r="L26" i="5"/>
  <c r="L30" i="5" s="1"/>
  <c r="I20" i="5"/>
  <c r="I26" i="5" s="1"/>
  <c r="C79" i="18" l="1"/>
  <c r="M94" i="5"/>
  <c r="M100" i="5" s="1"/>
  <c r="M106" i="5" s="1"/>
  <c r="S16" i="5"/>
  <c r="D14" i="5"/>
  <c r="P26" i="5"/>
  <c r="E49" i="4" s="1"/>
  <c r="L34" i="5"/>
  <c r="I30" i="5"/>
  <c r="J34" i="5" s="1"/>
  <c r="B79" i="18" l="1"/>
  <c r="B44" i="18"/>
  <c r="A108" i="18"/>
  <c r="B9" i="17"/>
  <c r="M110" i="5"/>
  <c r="M116" i="5" s="1"/>
  <c r="M122" i="5" s="1"/>
  <c r="D17" i="5"/>
  <c r="D15" i="5"/>
  <c r="E15" i="5"/>
  <c r="I34" i="5"/>
  <c r="L36" i="5"/>
  <c r="M126" i="5" l="1"/>
  <c r="D79" i="18"/>
  <c r="D80" i="18" s="1"/>
  <c r="B45" i="18" s="1"/>
  <c r="A79" i="18"/>
  <c r="E79" i="18"/>
  <c r="B56" i="18" s="1"/>
  <c r="B28" i="18"/>
  <c r="C9" i="17"/>
  <c r="D18" i="5"/>
  <c r="B13" i="4"/>
  <c r="B16" i="4" s="1"/>
  <c r="B17" i="4" s="1"/>
  <c r="I36" i="5"/>
  <c r="L41" i="5"/>
  <c r="L45" i="5" s="1"/>
  <c r="A111" i="18" l="1"/>
  <c r="A93" i="18"/>
  <c r="P41" i="5"/>
  <c r="E46" i="9" s="1"/>
  <c r="I41" i="5"/>
  <c r="P19" i="5"/>
  <c r="D19" i="5"/>
  <c r="D20" i="5"/>
  <c r="L49" i="5"/>
  <c r="I45" i="5"/>
  <c r="J49" i="5" s="1"/>
  <c r="D21" i="5" l="1"/>
  <c r="E21" i="5"/>
  <c r="D23" i="5"/>
  <c r="I49" i="5"/>
  <c r="I55" i="5" s="1"/>
  <c r="L55" i="5"/>
  <c r="L59" i="5" s="1"/>
  <c r="I59" i="5" s="1"/>
  <c r="J65" i="5" s="1"/>
  <c r="D22" i="5" l="1"/>
  <c r="P22" i="5"/>
  <c r="D24" i="5"/>
  <c r="L65" i="5"/>
  <c r="I65" i="5" s="1"/>
  <c r="I71" i="5" s="1"/>
  <c r="P55" i="5"/>
  <c r="P25" i="5" l="1"/>
  <c r="H25" i="5"/>
  <c r="H29" i="5" s="1"/>
  <c r="H31" i="5" s="1"/>
  <c r="H32" i="5" s="1"/>
  <c r="H33" i="5" s="1"/>
  <c r="H34" i="5" s="1"/>
  <c r="L71" i="5"/>
  <c r="L75" i="5" s="1"/>
  <c r="L82" i="5" s="1"/>
  <c r="I82" i="5" s="1"/>
  <c r="B21" i="4" l="1"/>
  <c r="B24" i="4" s="1"/>
  <c r="A69" i="4" s="1"/>
  <c r="E48" i="4"/>
  <c r="E50" i="4" s="1"/>
  <c r="H35" i="5"/>
  <c r="H37" i="5" s="1"/>
  <c r="H38" i="5" s="1"/>
  <c r="H39" i="5" s="1"/>
  <c r="I75" i="5"/>
  <c r="D25" i="5"/>
  <c r="P29" i="5" s="1"/>
  <c r="D29" i="5"/>
  <c r="P71" i="5"/>
  <c r="R83" i="5" l="1"/>
  <c r="L83" i="5"/>
  <c r="I83" i="5" s="1"/>
  <c r="C25" i="4"/>
  <c r="D25" i="4" s="1"/>
  <c r="C63" i="4" s="1"/>
  <c r="B26" i="4"/>
  <c r="B28" i="4" s="1"/>
  <c r="B29" i="4" s="1"/>
  <c r="C89" i="4"/>
  <c r="A95" i="4"/>
  <c r="A63" i="4"/>
  <c r="A72" i="4" s="1"/>
  <c r="A78" i="4" s="1"/>
  <c r="D31" i="5"/>
  <c r="E31" i="5"/>
  <c r="D32" i="5"/>
  <c r="A30" i="4" l="1"/>
  <c r="B30" i="4" s="1"/>
  <c r="L84" i="5"/>
  <c r="J84" i="5"/>
  <c r="D34" i="5"/>
  <c r="P31" i="5"/>
  <c r="O31" i="5"/>
  <c r="B11" i="9" s="1"/>
  <c r="B13" i="9" s="1"/>
  <c r="B14" i="9" s="1"/>
  <c r="D33" i="5"/>
  <c r="P33" i="5"/>
  <c r="I84" i="5" l="1"/>
  <c r="L90" i="5"/>
  <c r="L94" i="5" s="1"/>
  <c r="I94" i="5" s="1"/>
  <c r="D38" i="5"/>
  <c r="D35" i="5"/>
  <c r="E35" i="5"/>
  <c r="J100" i="5" l="1"/>
  <c r="L100" i="5"/>
  <c r="I100" i="5" s="1"/>
  <c r="I106" i="5" s="1"/>
  <c r="I90" i="5"/>
  <c r="P90" i="5"/>
  <c r="E55" i="14" s="1"/>
  <c r="D39" i="5"/>
  <c r="P40" i="5" s="1"/>
  <c r="E45" i="9" s="1"/>
  <c r="E47" i="9" s="1"/>
  <c r="D37" i="5"/>
  <c r="P37" i="5"/>
  <c r="E38" i="10"/>
  <c r="A60" i="9" l="1"/>
  <c r="C86" i="9"/>
  <c r="A92" i="9"/>
  <c r="L106" i="5"/>
  <c r="B18" i="9"/>
  <c r="B20" i="9" s="1"/>
  <c r="B22" i="9" s="1"/>
  <c r="B24" i="9" s="1"/>
  <c r="A26" i="9" s="1"/>
  <c r="B26" i="9" s="1"/>
  <c r="H40" i="5"/>
  <c r="H44" i="5" s="1"/>
  <c r="L110" i="5" l="1"/>
  <c r="D40" i="5"/>
  <c r="P44" i="5" s="1"/>
  <c r="P106" i="5"/>
  <c r="E77" i="18" s="1"/>
  <c r="A66" i="9"/>
  <c r="A69" i="9" s="1"/>
  <c r="A75" i="9" s="1"/>
  <c r="C21" i="9"/>
  <c r="D21" i="9" s="1"/>
  <c r="C60" i="9" s="1"/>
  <c r="B25" i="9"/>
  <c r="D44" i="5"/>
  <c r="I110" i="5" l="1"/>
  <c r="J116" i="5" s="1"/>
  <c r="L116" i="5"/>
  <c r="D46" i="5"/>
  <c r="E46" i="5"/>
  <c r="D39" i="10"/>
  <c r="D45" i="10" s="1"/>
  <c r="L122" i="5" l="1"/>
  <c r="L126" i="5" s="1"/>
  <c r="I116" i="5"/>
  <c r="H46" i="5"/>
  <c r="H47" i="5" s="1"/>
  <c r="P46" i="5"/>
  <c r="E39" i="10" s="1"/>
  <c r="O46" i="5"/>
  <c r="B11" i="10" s="1"/>
  <c r="B13" i="10" s="1"/>
  <c r="B14" i="10" s="1"/>
  <c r="A87" i="10"/>
  <c r="K137" i="5" l="1"/>
  <c r="L129" i="5"/>
  <c r="P122" i="5"/>
  <c r="I122" i="5"/>
  <c r="I126" i="5"/>
  <c r="P129" i="5" s="1"/>
  <c r="E73" i="20" s="1"/>
  <c r="H48" i="5"/>
  <c r="H49" i="5" s="1"/>
  <c r="D47" i="5"/>
  <c r="F137" i="5" l="1"/>
  <c r="J137" i="5"/>
  <c r="E137" i="5" s="1"/>
  <c r="I129" i="5"/>
  <c r="M129" i="5" s="1"/>
  <c r="L137" i="5"/>
  <c r="I137" i="5" s="1"/>
  <c r="P48" i="5"/>
  <c r="E40" i="10" s="1"/>
  <c r="D48" i="5"/>
  <c r="H50" i="5"/>
  <c r="H51" i="5" s="1"/>
  <c r="H52" i="5" s="1"/>
  <c r="H53" i="5" s="1"/>
  <c r="D49" i="5"/>
  <c r="D50" i="5" s="1"/>
  <c r="G137" i="5" l="1"/>
  <c r="H137" i="5"/>
  <c r="M137" i="5"/>
  <c r="M138" i="5" s="1"/>
  <c r="L138" i="5"/>
  <c r="I138" i="5" s="1"/>
  <c r="D52" i="5"/>
  <c r="P51" i="5"/>
  <c r="E42" i="10" s="1"/>
  <c r="D51" i="5"/>
  <c r="D53" i="5"/>
  <c r="P54" i="5" s="1"/>
  <c r="E45" i="10" l="1"/>
  <c r="A90" i="10" s="1"/>
  <c r="B18" i="10"/>
  <c r="B20" i="10" s="1"/>
  <c r="H54" i="5"/>
  <c r="D54" i="5" s="1"/>
  <c r="P58" i="5" l="1"/>
  <c r="H58" i="5"/>
  <c r="D58" i="5" s="1"/>
  <c r="D60" i="5" s="1"/>
  <c r="D61" i="5" s="1"/>
  <c r="B22" i="10"/>
  <c r="B24" i="10" s="1"/>
  <c r="B25" i="10" s="1"/>
  <c r="A64" i="10"/>
  <c r="C21" i="10"/>
  <c r="D21" i="10" s="1"/>
  <c r="C58" i="10" s="1"/>
  <c r="A58" i="10"/>
  <c r="C84" i="10"/>
  <c r="E61" i="5" l="1"/>
  <c r="E60" i="5"/>
  <c r="A27" i="10"/>
  <c r="A26" i="10"/>
  <c r="B26" i="10" s="1"/>
  <c r="A67" i="10"/>
  <c r="A73" i="10" s="1"/>
  <c r="H60" i="5"/>
  <c r="H61" i="5" s="1"/>
  <c r="H62" i="5" s="1"/>
  <c r="D62" i="5" s="1"/>
  <c r="D63" i="5" s="1"/>
  <c r="D64" i="5" l="1"/>
  <c r="E64" i="5"/>
  <c r="D69" i="5"/>
  <c r="O61" i="5"/>
  <c r="P61" i="5"/>
  <c r="O60" i="5"/>
  <c r="P60" i="5"/>
  <c r="H63" i="5"/>
  <c r="P63" i="5"/>
  <c r="D44" i="13" l="1"/>
  <c r="D45" i="13"/>
  <c r="E45" i="13" s="1"/>
  <c r="E46" i="13"/>
  <c r="H64" i="5"/>
  <c r="H65" i="5" s="1"/>
  <c r="D65" i="5" s="1"/>
  <c r="D66" i="5" l="1"/>
  <c r="D67" i="5" s="1"/>
  <c r="E66" i="5"/>
  <c r="E44" i="13"/>
  <c r="H44" i="13" s="1"/>
  <c r="P64" i="5"/>
  <c r="G48" i="14"/>
  <c r="H66" i="5"/>
  <c r="D83" i="5" l="1"/>
  <c r="D47" i="13"/>
  <c r="H67" i="5"/>
  <c r="H68" i="5" s="1"/>
  <c r="D68" i="5" s="1"/>
  <c r="P67" i="5"/>
  <c r="R82" i="5" l="1"/>
  <c r="R84" i="5" s="1"/>
  <c r="D82" i="5"/>
  <c r="P66" i="5"/>
  <c r="O66" i="5"/>
  <c r="E47" i="13"/>
  <c r="H69" i="5"/>
  <c r="P70" i="5" l="1"/>
  <c r="B21" i="13" s="1"/>
  <c r="B24" i="13" s="1"/>
  <c r="A63" i="13" s="1"/>
  <c r="D48" i="13"/>
  <c r="D53" i="13" s="1"/>
  <c r="B13" i="13"/>
  <c r="H47" i="13"/>
  <c r="H70" i="5" l="1"/>
  <c r="C25" i="13"/>
  <c r="D25" i="13" s="1"/>
  <c r="B26" i="13"/>
  <c r="B28" i="13" s="1"/>
  <c r="B29" i="13" s="1"/>
  <c r="A72" i="13"/>
  <c r="E48" i="13"/>
  <c r="B16" i="13"/>
  <c r="B17" i="13" s="1"/>
  <c r="A89" i="13"/>
  <c r="H74" i="5" l="1"/>
  <c r="H76" i="5" s="1"/>
  <c r="H77" i="5" s="1"/>
  <c r="H78" i="5" s="1"/>
  <c r="H79" i="5" s="1"/>
  <c r="H80" i="5" s="1"/>
  <c r="H81" i="5" s="1"/>
  <c r="D70" i="5"/>
  <c r="P74" i="5" s="1"/>
  <c r="A104" i="14"/>
  <c r="A30" i="13"/>
  <c r="B30" i="13" s="1"/>
  <c r="H48" i="13"/>
  <c r="E53" i="13"/>
  <c r="A92" i="13" s="1"/>
  <c r="D74" i="5" l="1"/>
  <c r="D76" i="5" s="1"/>
  <c r="D77" i="5" s="1"/>
  <c r="E77" i="5" s="1"/>
  <c r="D78" i="5"/>
  <c r="D79" i="5" s="1"/>
  <c r="E80" i="5" s="1"/>
  <c r="H82" i="5"/>
  <c r="D81" i="5"/>
  <c r="P79" i="5" s="1"/>
  <c r="C86" i="13"/>
  <c r="H83" i="5" l="1"/>
  <c r="S82" i="5" s="1"/>
  <c r="S84" i="5" s="1"/>
  <c r="S85" i="5" s="1"/>
  <c r="D18" i="17"/>
  <c r="D80" i="5"/>
  <c r="E76" i="5"/>
  <c r="D21" i="17"/>
  <c r="D24" i="17"/>
  <c r="C33" i="17" s="1"/>
  <c r="D20" i="17"/>
  <c r="D23" i="17"/>
  <c r="C32" i="17" s="1"/>
  <c r="D14" i="19" s="1"/>
  <c r="B30" i="19" s="1"/>
  <c r="D22" i="17"/>
  <c r="D19" i="17"/>
  <c r="E50" i="14"/>
  <c r="C31" i="17" l="1"/>
  <c r="D13" i="18" s="1"/>
  <c r="B27" i="18" s="1"/>
  <c r="H84" i="5"/>
  <c r="E53" i="14"/>
  <c r="E78" i="18" l="1"/>
  <c r="C30" i="17"/>
  <c r="D13" i="14" s="1"/>
  <c r="B27" i="14" s="1"/>
  <c r="E57" i="14" s="1"/>
  <c r="D84" i="5"/>
  <c r="H85" i="5"/>
  <c r="H86" i="5" s="1"/>
  <c r="H87" i="5" s="1"/>
  <c r="H88" i="5" s="1"/>
  <c r="E85" i="5" l="1"/>
  <c r="D85" i="5"/>
  <c r="D86" i="5" s="1"/>
  <c r="B14" i="17" l="1"/>
  <c r="D87" i="5"/>
  <c r="P86" i="5" l="1"/>
  <c r="D88" i="5"/>
  <c r="H89" i="5" l="1"/>
  <c r="D89" i="5" s="1"/>
  <c r="P89" i="5"/>
  <c r="B25" i="14" l="1"/>
  <c r="E54" i="14"/>
  <c r="E58" i="14" s="1"/>
  <c r="A107" i="14" s="1"/>
  <c r="H93" i="5"/>
  <c r="H95" i="5" s="1"/>
  <c r="H96" i="5" s="1"/>
  <c r="H97" i="5" s="1"/>
  <c r="H98" i="5" s="1"/>
  <c r="H99" i="5" s="1"/>
  <c r="H100" i="5" s="1"/>
  <c r="H101" i="5" s="1"/>
  <c r="H102" i="5" s="1"/>
  <c r="H103" i="5" s="1"/>
  <c r="H104" i="5" s="1"/>
  <c r="B29" i="14" l="1"/>
  <c r="B31" i="14" s="1"/>
  <c r="B33" i="14" s="1"/>
  <c r="B34" i="14" s="1"/>
  <c r="B67" i="14"/>
  <c r="B66" i="14"/>
  <c r="C101" i="14"/>
  <c r="P93" i="5"/>
  <c r="D93" i="5"/>
  <c r="A77" i="14" l="1"/>
  <c r="A89" i="14"/>
  <c r="E96" i="5"/>
  <c r="E95" i="5"/>
  <c r="C77" i="14"/>
  <c r="A35" i="14"/>
  <c r="B35" i="14" s="1"/>
  <c r="D100" i="5"/>
  <c r="D101" i="5" s="1"/>
  <c r="D97" i="5"/>
  <c r="D95" i="5"/>
  <c r="D96" i="5" s="1"/>
  <c r="A96" i="18" l="1"/>
  <c r="P98" i="5"/>
  <c r="D98" i="5"/>
  <c r="D103" i="5"/>
  <c r="D104" i="5" l="1"/>
  <c r="E99" i="5"/>
  <c r="D99" i="5"/>
  <c r="D102" i="5"/>
  <c r="E101" i="5"/>
  <c r="P102" i="5"/>
  <c r="P105" i="5" l="1"/>
  <c r="B25" i="18" s="1"/>
  <c r="B30" i="18" l="1"/>
  <c r="E76" i="18"/>
  <c r="A87" i="18" l="1"/>
  <c r="E80" i="18"/>
  <c r="B47" i="18"/>
  <c r="D109" i="5"/>
  <c r="E112" i="5" s="1"/>
  <c r="D105" i="5"/>
  <c r="P109" i="5" s="1"/>
  <c r="B33" i="18" l="1"/>
  <c r="B34" i="18" s="1"/>
  <c r="D111" i="5"/>
  <c r="D112" i="5" s="1"/>
  <c r="E111" i="5"/>
  <c r="B46" i="18"/>
  <c r="A114" i="18"/>
  <c r="C108" i="18"/>
  <c r="D113" i="5" l="1"/>
  <c r="D114" i="5" s="1"/>
  <c r="E115" i="5" s="1"/>
  <c r="D116" i="5"/>
  <c r="B62" i="18"/>
  <c r="C87" i="18"/>
  <c r="A35" i="18"/>
  <c r="B35" i="18" s="1"/>
  <c r="P114" i="5" l="1"/>
  <c r="D119" i="5"/>
  <c r="E117" i="5"/>
  <c r="D117" i="5"/>
  <c r="D118" i="5" s="1"/>
  <c r="D115" i="5"/>
  <c r="P118" i="5"/>
  <c r="D120" i="5" l="1"/>
  <c r="P121" i="5" s="1"/>
  <c r="D121" i="5" l="1"/>
  <c r="B27" i="19"/>
  <c r="B65" i="19" l="1"/>
  <c r="B32" i="19"/>
  <c r="D38" i="19" s="1"/>
  <c r="D34" i="19" s="1"/>
  <c r="B34" i="19" s="1"/>
  <c r="D125" i="5"/>
  <c r="P125" i="5"/>
  <c r="A89" i="19" l="1"/>
  <c r="E70" i="20"/>
  <c r="D35" i="19"/>
  <c r="D127" i="5"/>
  <c r="P128" i="5" s="1"/>
  <c r="E127" i="5"/>
  <c r="A98" i="19"/>
  <c r="C89" i="19" l="1"/>
  <c r="D30" i="20"/>
  <c r="E72" i="20"/>
  <c r="E130" i="5"/>
  <c r="D128" i="5"/>
  <c r="B36" i="19"/>
  <c r="B37" i="19" s="1"/>
  <c r="D130" i="5"/>
  <c r="D131" i="5" l="1"/>
  <c r="A38" i="19"/>
  <c r="B38" i="19" s="1"/>
  <c r="F138" i="5" l="1"/>
  <c r="G138" i="5" s="1"/>
  <c r="H138" i="5" s="1"/>
  <c r="D133" i="5" l="1"/>
  <c r="D132" i="5"/>
  <c r="C155" i="5"/>
  <c r="F149" i="5"/>
  <c r="J149" i="5" s="1"/>
  <c r="F148" i="5"/>
  <c r="J148" i="5" s="1"/>
  <c r="F147" i="5"/>
  <c r="J147" i="5" s="1"/>
  <c r="F146" i="5"/>
  <c r="J146" i="5" s="1"/>
  <c r="C75" i="20"/>
  <c r="B44" i="20" s="1"/>
  <c r="A105" i="20" l="1"/>
  <c r="P147" i="5"/>
  <c r="N147" i="5" s="1"/>
  <c r="D161" i="5" s="1"/>
  <c r="P149" i="5"/>
  <c r="N149" i="5" s="1"/>
  <c r="D163" i="5" s="1"/>
  <c r="J151" i="5"/>
  <c r="P148" i="5"/>
  <c r="A75" i="20"/>
  <c r="B75" i="20" s="1"/>
  <c r="D134" i="5"/>
  <c r="C47" i="3" l="1"/>
  <c r="C45" i="3"/>
  <c r="P146" i="5"/>
  <c r="N146" i="5" s="1"/>
  <c r="N148" i="5"/>
  <c r="D162" i="5" s="1"/>
  <c r="D135" i="5"/>
  <c r="G161" i="5" l="1"/>
  <c r="D45" i="3" s="1"/>
  <c r="C46" i="3"/>
  <c r="P151" i="5"/>
  <c r="O151" i="5"/>
  <c r="C160" i="5"/>
  <c r="G155" i="5"/>
  <c r="G162" i="5" s="1"/>
  <c r="D136" i="5"/>
  <c r="G163" i="5" l="1"/>
  <c r="D47" i="3" s="1"/>
  <c r="G160" i="5"/>
  <c r="D44" i="3" s="1"/>
  <c r="B44" i="3"/>
  <c r="O138" i="5"/>
  <c r="D46" i="3"/>
  <c r="D137" i="5"/>
  <c r="G164" i="5" l="1"/>
  <c r="H160" i="5"/>
  <c r="P138" i="5" s="1"/>
  <c r="B25" i="20" s="1"/>
  <c r="B13" i="20"/>
  <c r="D75" i="20"/>
  <c r="D77" i="20" s="1"/>
  <c r="B45" i="20" s="1"/>
  <c r="D138" i="5"/>
  <c r="E155" i="5" s="1"/>
  <c r="B29" i="20" l="1"/>
  <c r="B62" i="20"/>
  <c r="E44" i="3"/>
  <c r="B17" i="20"/>
  <c r="B20" i="20" s="1"/>
  <c r="A108" i="20"/>
  <c r="E75" i="20"/>
  <c r="E77" i="20" s="1"/>
  <c r="B46" i="20" l="1"/>
  <c r="B47" i="20"/>
  <c r="B21" i="20"/>
  <c r="B18" i="20"/>
  <c r="B19" i="20"/>
  <c r="A93" i="20"/>
  <c r="C105" i="20"/>
  <c r="A111" i="20"/>
  <c r="D35" i="20" l="1"/>
  <c r="D31" i="20" s="1"/>
  <c r="B56" i="20" s="1"/>
  <c r="A84" i="20"/>
  <c r="B31" i="20" l="1"/>
  <c r="B33" i="20" s="1"/>
  <c r="B34" i="20" s="1"/>
  <c r="D32" i="20"/>
  <c r="C84" i="20" s="1"/>
  <c r="A35" i="20" l="1"/>
  <c r="B35"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Vickerstaffe</author>
    <author>Maria Yianni</author>
  </authors>
  <commentList>
    <comment ref="E18" authorId="0" shapeId="0" xr:uid="{00000000-0006-0000-0300-000001000000}">
      <text>
        <r>
          <rPr>
            <sz val="8"/>
            <color indexed="81"/>
            <rFont val="Tahoma"/>
            <family val="2"/>
          </rPr>
          <t>2004 options share were acquired at £13,7 cost, but income tax was due on difference to £5.50 market price which becomes the purchase price for CGT purposes</t>
        </r>
        <r>
          <rPr>
            <sz val="8"/>
            <color indexed="81"/>
            <rFont val="Tahoma"/>
            <family val="2"/>
          </rPr>
          <t xml:space="preserve">
</t>
        </r>
      </text>
    </comment>
    <comment ref="E23" authorId="0" shapeId="0" xr:uid="{00000000-0006-0000-0300-000002000000}">
      <text>
        <r>
          <rPr>
            <sz val="8"/>
            <color indexed="81"/>
            <rFont val="Tahoma"/>
            <family val="2"/>
          </rPr>
          <t>2004 options share were acquired at £13,7 cost, but income tax was due on difference to £6.88 market price which becomes the purchase price for CGT purposes</t>
        </r>
        <r>
          <rPr>
            <sz val="8"/>
            <color indexed="81"/>
            <rFont val="Tahoma"/>
            <family val="2"/>
          </rPr>
          <t xml:space="preserve">
</t>
        </r>
      </text>
    </comment>
    <comment ref="E32" authorId="0" shapeId="0" xr:uid="{00000000-0006-0000-0300-000003000000}">
      <text>
        <r>
          <rPr>
            <sz val="8"/>
            <color indexed="81"/>
            <rFont val="Tahoma"/>
            <family val="2"/>
          </rPr>
          <t>2004 options share were acquired at £1.37 cost and 2005 options at £2.07 cost, but income tax was due on difference to £7.16 market price which becomes the purchase price for CGT purposes</t>
        </r>
        <r>
          <rPr>
            <sz val="8"/>
            <color indexed="81"/>
            <rFont val="Tahoma"/>
            <family val="2"/>
          </rPr>
          <t xml:space="preserve">
</t>
        </r>
      </text>
    </comment>
    <comment ref="E38" authorId="0" shapeId="0" xr:uid="{00000000-0006-0000-0300-000004000000}">
      <text>
        <r>
          <rPr>
            <sz val="8"/>
            <color indexed="81"/>
            <rFont val="Tahoma"/>
            <family val="2"/>
          </rPr>
          <t>2004 options share were acquired at £1,37 cost, but income tax was due on difference to £7.83 market price.  You should then use the current market price of £7.83 as the base cost of the option shares kept.</t>
        </r>
        <r>
          <rPr>
            <sz val="8"/>
            <color indexed="81"/>
            <rFont val="Tahoma"/>
            <family val="2"/>
          </rPr>
          <t xml:space="preserve">
</t>
        </r>
      </text>
    </comment>
    <comment ref="E47" authorId="0" shapeId="0" xr:uid="{00000000-0006-0000-0300-000005000000}">
      <text>
        <r>
          <rPr>
            <sz val="8"/>
            <color indexed="81"/>
            <rFont val="Tahoma"/>
            <family val="2"/>
          </rPr>
          <t xml:space="preserve">options share were acquired at following costs:
2004 options at  £1.37 
2005 options at £2.07 
2006 options at  £3.45 
but income tax was due on difference to current share price at exercise.  The current share price of £8.07 become the actual share purchase cost of your options kept at this dealing period. </t>
        </r>
      </text>
    </comment>
    <comment ref="E52" authorId="0" shapeId="0" xr:uid="{00000000-0006-0000-0300-000006000000}">
      <text>
        <r>
          <rPr>
            <sz val="8"/>
            <color indexed="81"/>
            <rFont val="Tahoma"/>
            <family val="2"/>
          </rPr>
          <t xml:space="preserve">options share were acquired at following costs:
2004 options at  £1.37 
2005 options at £2.07 
2006 options at  £3.45 
but income tax was due on difference to current share price at exercise.  The current share price of £8.31 become the actual share purchase cost of your options kept at this dealing period. </t>
        </r>
      </text>
    </comment>
    <comment ref="E62" authorId="0" shapeId="0" xr:uid="{00000000-0006-0000-0300-000007000000}">
      <text>
        <r>
          <rPr>
            <sz val="8"/>
            <color indexed="81"/>
            <rFont val="Tahoma"/>
            <family val="2"/>
          </rPr>
          <t xml:space="preserve">If you exercised 2007 bonus year options, enter £5.50 as base cost of these shares.  
If you exercised 2004 to 2006 bonus year options, enter the dealing period price (you pay income tax and social security on the difference between the options price (see below) and the dealing period price:
Option year   Price
2004             £1.37 
2005             £2.07 
2006             £3.45 
2007             £5.50
</t>
        </r>
      </text>
    </comment>
    <comment ref="E68" authorId="0" shapeId="0" xr:uid="{00000000-0006-0000-0300-000008000000}">
      <text>
        <r>
          <rPr>
            <sz val="8"/>
            <color indexed="81"/>
            <rFont val="Tahoma"/>
            <family val="2"/>
          </rPr>
          <t xml:space="preserve">If you exercised 2007 bonus year options, enter £5.50 as base cost of these shares.  
If you exercised 2004 to 2006 bonus year options, enter the dealing period price (you pay income tax and social security on the difference between the options price (see below) and the dealing period price:
Option year   Price
2004             £1.37 
2005             £2.07 
2006             £3.45 
2007             £5.50
</t>
        </r>
      </text>
    </comment>
    <comment ref="C73" authorId="1" shapeId="0" xr:uid="{00000000-0006-0000-0300-000009000000}">
      <text>
        <r>
          <rPr>
            <sz val="9"/>
            <color indexed="81"/>
            <rFont val="Tahoma"/>
            <family val="2"/>
          </rPr>
          <t xml:space="preserve">Estimated dates in red
</t>
        </r>
      </text>
    </comment>
    <comment ref="E78" authorId="0" shapeId="0" xr:uid="{00000000-0006-0000-0300-00000A000000}">
      <text>
        <r>
          <rPr>
            <sz val="8"/>
            <color indexed="81"/>
            <rFont val="Tahoma"/>
            <family val="2"/>
          </rPr>
          <t xml:space="preserve">If you exercised 2007 bonus year options, enter £5.50 as base cost of these shares. 
If you exercised 2008 bonus year options, enter £6.88 as base cost of these shares. 
If you exercised 2004 to 2006 bonus year options, enter the dealing period price (you pay income tax and social security on the difference between the options price (see below) and the dealing period price:
Option year   Price
2004             £1.37 
2005             £2.07 
2006             £3.45 
</t>
        </r>
      </text>
    </comment>
    <comment ref="E81" authorId="0" shapeId="0" xr:uid="{00000000-0006-0000-0300-00000B000000}">
      <text>
        <r>
          <rPr>
            <sz val="8"/>
            <color indexed="81"/>
            <rFont val="Tahoma"/>
            <family val="2"/>
          </rPr>
          <t>If you exercised 2007 or 2008 bonus year options, enter the option price (below) as base cost of these shares.  
If you exercised 2004 to 2006 bonus year options, enter the dealing period price (you pay income tax and social security on the difference between the options price (see below) and the dealing period price:
Option year   Price
2004             £1.37 
2005             £2.07 
2006             £3.45 
2007             £5.50
2008             £6.88</t>
        </r>
      </text>
    </comment>
    <comment ref="E87" authorId="0" shapeId="0" xr:uid="{00000000-0006-0000-0300-00000C000000}">
      <text>
        <r>
          <rPr>
            <sz val="8"/>
            <color indexed="81"/>
            <rFont val="Tahoma"/>
            <family val="2"/>
          </rPr>
          <t>If you exercised 2007 or 2008 bonus year options, enter the option price (below) as base cost of these shares.  
If you exercised 2004 to 2006 bonus year options, enter the dealing period price (you pay income tax and social security on the difference between the options price (see below) and the dealing period price:
Option year   Price
2004             £1.37 
2005             £2.07 
2006             £3.45 
2007             £1.19
2008             £2.57</t>
        </r>
      </text>
    </comment>
    <comment ref="E97" authorId="0" shapeId="0" xr:uid="{00000000-0006-0000-0300-00000D000000}">
      <text>
        <r>
          <rPr>
            <sz val="8"/>
            <color indexed="81"/>
            <rFont val="Tahoma"/>
            <family val="2"/>
          </rPr>
          <t>If you exercised 2007 or 2008 bonus year options, enter the option price (below) as base cost of these shares.  
If you exercised 2004 to 2006 bonus year options, enter the dealing period price (you pay income tax and social security on the difference between the options price (see below) and the dealing period price:
Option year   Price
2004             £1.37 
2005             £2.07 
2006             £3.45 
2007             £1.19
2008             £2.57</t>
        </r>
      </text>
    </comment>
    <comment ref="E103" authorId="0" shapeId="0" xr:uid="{00000000-0006-0000-0300-00000E000000}">
      <text>
        <r>
          <rPr>
            <sz val="8"/>
            <color indexed="81"/>
            <rFont val="Tahoma"/>
            <family val="2"/>
          </rPr>
          <t xml:space="preserve">If you exercised 2007 or 2008 bonus year options, enter the option price (below) as base cost of these shares.  
If you exercised 2004 to 2006 bonus year options, enter the dealing period price (you pay income tax and social security on the difference between the options price (see below) and the dealing period price:
Option year   Price
2004             £1.37 
2005             £2.07 
2006             £3.45 
2007             £1.19
2008             £2.57
</t>
        </r>
      </text>
    </comment>
    <comment ref="E113" authorId="0" shapeId="0" xr:uid="{00000000-0006-0000-0300-00000F000000}">
      <text>
        <r>
          <rPr>
            <sz val="8"/>
            <color indexed="81"/>
            <rFont val="Tahoma"/>
            <family val="2"/>
          </rPr>
          <t>If you exercised 2004 to 2006 bonus year options, enter the dealing period price (you pay income tax and social security on the difference between the options price (see below) and the dealing period price.
If you exercised any other approved options, enter the option price (below) as base cost of these shares.  
If you exercised any other  unapproved options, enter  the dealing period price (you pay income tax and social security on the difference between the options price (see below) and the dealing period price.
Option Price:
2004             £1.37 
2005             £2.07 
2006             £3.45 
2007             £1.19
2008             £2.57
April 2011     £4.00
June 2011    £4.00</t>
        </r>
      </text>
    </comment>
    <comment ref="E119" authorId="0" shapeId="0" xr:uid="{00000000-0006-0000-0300-000010000000}">
      <text>
        <r>
          <rPr>
            <sz val="8"/>
            <color indexed="81"/>
            <rFont val="Tahoma"/>
            <family val="2"/>
          </rPr>
          <t>If you exercised 2004 to 2006 bonus year options, enter the dealing period price (you pay income tax and social security on the difference between the options price (see below) and the dealing period price.
If you exercised any other approved options, enter the option price (below) as base cost of these shares.  
If you exercised any other  unapproved options, enter  the dealing period price (you pay income tax and social security on the difference between the options price (see below) and the dealing period price.
Option Price
2004             £1.37 
2005             £2.07 
2006             £3.45 
2007             £1.19
2008             £2.57
April 2011     £4.00
June 2011    £4.00
Oct 2011      £4.41</t>
        </r>
      </text>
    </comment>
    <comment ref="E135" authorId="0" shapeId="0" xr:uid="{00000000-0006-0000-0300-000011000000}">
      <text>
        <r>
          <rPr>
            <sz val="8"/>
            <color indexed="81"/>
            <rFont val="Tahoma"/>
            <family val="2"/>
          </rPr>
          <t>Approved options were used (exercised) on 8 December 2015.
Enter the option price (below) as base cost of these shares.  
Option  Price:
2007             £1.19
2008             £2.57
April 2011     £4.00
June 2011    £4.00
Oct 2011      £4.41
April 2012     £5.02
October 2012 £5.45</t>
        </r>
      </text>
    </comment>
  </commentList>
</comments>
</file>

<file path=xl/sharedStrings.xml><?xml version="1.0" encoding="utf-8"?>
<sst xmlns="http://schemas.openxmlformats.org/spreadsheetml/2006/main" count="1338" uniqueCount="514">
  <si>
    <t>Step 1</t>
  </si>
  <si>
    <t>Step 2</t>
  </si>
  <si>
    <t>Step 3</t>
  </si>
  <si>
    <t>Step 4</t>
  </si>
  <si>
    <t>Step 5</t>
  </si>
  <si>
    <t>Step 6</t>
  </si>
  <si>
    <t>Step 7</t>
  </si>
  <si>
    <t>Base cost apportionment</t>
  </si>
  <si>
    <t>This is identifying your Unrestricted PA shares at this date.  The average base cost is determined by dividing the total base cost of these acquired shares by the number of unrestricted share.</t>
  </si>
  <si>
    <t>Base cost apportionment for PA Consulting Group shares held at 24 June 2008</t>
  </si>
  <si>
    <t>Step 8</t>
  </si>
  <si>
    <t>This calculator is provided to help PA shareholders record their PA share acquisitions and disposals in order to correctly report these transactions to HMRC</t>
  </si>
  <si>
    <t>and pay only the necessary capital gains tax due.   You are reminded that PA is not your tax adviser, you use this calculator at your own risk and if you are</t>
  </si>
  <si>
    <t>Step 9</t>
  </si>
  <si>
    <t>Step 10</t>
  </si>
  <si>
    <t>Opening holdings</t>
  </si>
  <si>
    <t>Your PA Shares Unrestricted and Restricted Section 104 holdings</t>
  </si>
  <si>
    <t>Unrestricted Section 104 holding</t>
  </si>
  <si>
    <t>Restricted Section 104 holding</t>
  </si>
  <si>
    <t>Unrestricted sales (loan repayments)</t>
  </si>
  <si>
    <t>Enter</t>
  </si>
  <si>
    <t>PA Shareholdings at demerger</t>
  </si>
  <si>
    <t>Add: 2007 Restricted shares</t>
  </si>
  <si>
    <t>Add: Shares Purchased in market</t>
  </si>
  <si>
    <t>Unrestricted sales</t>
  </si>
  <si>
    <t>Shares bought (or - sold)</t>
  </si>
  <si>
    <t>Unrestricted purchases (2004 option shares kept)</t>
  </si>
  <si>
    <t>Add: Unrestricted purchases (2004 option shares kept)</t>
  </si>
  <si>
    <t>2003/2005 Restricted shares vesting</t>
  </si>
  <si>
    <t>Add: 2008 Restricted share award</t>
  </si>
  <si>
    <t>Add: Bonus award in shares</t>
  </si>
  <si>
    <t>Capital Gains</t>
  </si>
  <si>
    <t>2008/09</t>
  </si>
  <si>
    <t>Total Gains</t>
  </si>
  <si>
    <t>Total sale values</t>
  </si>
  <si>
    <t>2009/10</t>
  </si>
  <si>
    <t>Your total chargeable gains:</t>
  </si>
  <si>
    <t>Gain</t>
  </si>
  <si>
    <t>Total Gain</t>
  </si>
  <si>
    <t>Options sold</t>
  </si>
  <si>
    <t xml:space="preserve">  (£7.27 sale price less £4.30 cost price = £2.97 gain)</t>
  </si>
  <si>
    <t>Total value of assets disposed of:</t>
  </si>
  <si>
    <t>Is this greater than 4 x £9,600 exemption</t>
  </si>
  <si>
    <t>Chargeable gains</t>
  </si>
  <si>
    <t>Brought forward:</t>
  </si>
  <si>
    <t>Less: annual exempt amount</t>
  </si>
  <si>
    <t>Taxable gain:</t>
  </si>
  <si>
    <t>Is this greater than £9,600 exemption</t>
  </si>
  <si>
    <t>2004 Share Options</t>
  </si>
  <si>
    <t>http://www.hmrc.gov.uk/forms/sa108.pdf</t>
  </si>
  <si>
    <t>and notes:</t>
  </si>
  <si>
    <t>http://www.hmrc.gov.uk/worksheets/sa108-notes.pdf</t>
  </si>
  <si>
    <t>Desciption of asset:</t>
  </si>
  <si>
    <t>Date of Sale</t>
  </si>
  <si>
    <t>Proceeds</t>
  </si>
  <si>
    <t>Shares Sold</t>
  </si>
  <si>
    <t>Gain or Loss</t>
  </si>
  <si>
    <t>2008/09 Computation Working Sheet for PA Shares:</t>
  </si>
  <si>
    <t>Left PA?</t>
  </si>
  <si>
    <t>Sale of Unrestricted shares</t>
  </si>
  <si>
    <t>Sale of Restricted shares</t>
  </si>
  <si>
    <t>B/F Average Price</t>
  </si>
  <si>
    <t>Tax Year</t>
  </si>
  <si>
    <t>TOTALS:</t>
  </si>
  <si>
    <t>Box 22   Number of disposals</t>
  </si>
  <si>
    <t>Unlisted shares and securities</t>
  </si>
  <si>
    <t>Box 25   Gain in the year before losses</t>
  </si>
  <si>
    <t>Box 23   Disposal Proceeds</t>
  </si>
  <si>
    <t>Box 26   If you are making an claim or election, put "X" in box</t>
  </si>
  <si>
    <t>Leave blank</t>
  </si>
  <si>
    <t>Box 24   Allowable costs (including purchase price)</t>
  </si>
  <si>
    <t>Box 27   If your comp. includes estimates/ valuation, put "X" in box</t>
  </si>
  <si>
    <t>Where you need to complete Capital Gains pages, the following details based on your entries in the s104 Holdings sheet are required for PA shares</t>
  </si>
  <si>
    <t>Summary of your enclosed computations</t>
  </si>
  <si>
    <t>Box 3 Total Gains made in year</t>
  </si>
  <si>
    <t>You need to add any non-PA share gains to below state PA share data in order to complete your return.</t>
  </si>
  <si>
    <t>Box 10   Losses available to be carried forward to later years</t>
  </si>
  <si>
    <t>Box 4  Total Losses of the year (enter 0 if none)</t>
  </si>
  <si>
    <t>Box 11  Losses used against an earlier years gain</t>
  </si>
  <si>
    <t>Less: your total losses brought forward:</t>
  </si>
  <si>
    <t>Leave blank for PA shares</t>
  </si>
  <si>
    <t>Box 7  Annual exempt amount</t>
  </si>
  <si>
    <t xml:space="preserve">Box 5  Losses brought forward and used in the year </t>
  </si>
  <si>
    <t>Box 6  Total Gains after losses, but before annual exempt amount</t>
  </si>
  <si>
    <t>Box 8   Net chargeable gains (box 6 - box 7, minimum 0)</t>
  </si>
  <si>
    <t>Box 9  Additional liability in respect of non/dual resident trusts</t>
  </si>
  <si>
    <t>Box 13  Losses used against income (2007/08 income)</t>
  </si>
  <si>
    <t>Box 12  Losses used against income (2008/09 income)</t>
  </si>
  <si>
    <t>Box 14   Income losses of 2008-09 set against gains</t>
  </si>
  <si>
    <t>Box 15   Entrepreneurs' relief</t>
  </si>
  <si>
    <t>This sheet should be submitted to HMRC to provide details of the gains made on each disposal of PA shares during the tax year.</t>
  </si>
  <si>
    <t>Disposal Proceeds</t>
  </si>
  <si>
    <t>Unrestricted shares</t>
  </si>
  <si>
    <t>Restricted shares</t>
  </si>
  <si>
    <t>Total Shares</t>
  </si>
  <si>
    <t>Total Cost Price</t>
  </si>
  <si>
    <t>Average price per share</t>
  </si>
  <si>
    <t>Enter your initial s104 holding data here (based on your PA Share History), where you held shares held at 6 April 2008</t>
  </si>
  <si>
    <t>Step 11</t>
  </si>
  <si>
    <t>Transfer to spouse (no CGT)</t>
  </si>
  <si>
    <t>Step 12</t>
  </si>
  <si>
    <t>Desciption information</t>
  </si>
  <si>
    <t>From PA share sales per s104 Holdings sheet</t>
  </si>
  <si>
    <t>Any non-PA chargeable sales you made</t>
  </si>
  <si>
    <t>Sale value</t>
  </si>
  <si>
    <t>Unrestricted purchases (2005 option shares kept)</t>
  </si>
  <si>
    <t>Unrestricted purchases (2006 option shares kept)</t>
  </si>
  <si>
    <t xml:space="preserve">B/F = brought forward </t>
  </si>
  <si>
    <t>B/F Cumulative Shares</t>
  </si>
  <si>
    <t>B/F Cumulative Total cost</t>
  </si>
  <si>
    <t>Insert your PA Share History here to assist you to identify your shares at 6 April 2008</t>
  </si>
  <si>
    <t/>
  </si>
  <si>
    <t>Information to be reported on 2008/09 Capital Gains page CG1</t>
  </si>
  <si>
    <t>Information to be reported on 2008/09 Capital Gains page CG2</t>
  </si>
  <si>
    <t>Use this sheet to summarise your PA and non-PA disposals during the tax year to determine if  you need to complete the capital gains tax pages of your return.</t>
  </si>
  <si>
    <t>Below data is also needed to complete the capital gains section if you are filing online.  If you have not been sent the CGT pages, you can download them here:</t>
  </si>
  <si>
    <t>Date</t>
  </si>
  <si>
    <t>Add: Unrestricted purchases (option shares kept)</t>
  </si>
  <si>
    <t>2004/2006 Restricted shares vesting</t>
  </si>
  <si>
    <t>Unrestricted purchases (option shares kept)</t>
  </si>
  <si>
    <t>2010/11</t>
  </si>
  <si>
    <t>Add: 2009 UK Partner Restricted share award</t>
  </si>
  <si>
    <t>Transaction</t>
  </si>
  <si>
    <t>Purchase/ Sale Price</t>
  </si>
  <si>
    <t>2005/2007 Restricted shares vesting</t>
  </si>
  <si>
    <t>PACG Share Price at date of first sale/ transfer divided by</t>
  </si>
  <si>
    <t>2009/10 Tax Return - Capital Gains Tax reporting</t>
  </si>
  <si>
    <t>Is this greater than 4 x £10,100 exemption</t>
  </si>
  <si>
    <t>Is this greater than £10,100 exemption</t>
  </si>
  <si>
    <t>Box 12  Losses used against income (2009/10 income)</t>
  </si>
  <si>
    <t>Box 13  Losses used against income (2008/09 income)</t>
  </si>
  <si>
    <t>Box 14   Income losses of 2009/10 set against gains</t>
  </si>
  <si>
    <t>Information to be reported on 2009/10 Capital Gains page CG2</t>
  </si>
  <si>
    <t>Information to be reported on 2009/10 Capital Gains page CG1</t>
  </si>
  <si>
    <t>2010/11 Tax Return - Capital Gains Tax reporting</t>
  </si>
  <si>
    <t>2010/11 Computation Working Sheet for PA Shares:</t>
  </si>
  <si>
    <t>Information to be reported on 2010/11 Capital Gains page CG1</t>
  </si>
  <si>
    <t>2009/10 Computation Working Sheet for PA Shares:</t>
  </si>
  <si>
    <t>Information to be reported on 2010/11 Capital Gains page CG2</t>
  </si>
  <si>
    <t>Box 12  Losses used against income (2010/11 income)</t>
  </si>
  <si>
    <t>Box 13  Losses used against income (2009/10 income)</t>
  </si>
  <si>
    <t>Box 14   Income losses of 2010/11 set against gains</t>
  </si>
  <si>
    <t>2008/09 Tax Return - Capital Gains Tax reporting</t>
  </si>
  <si>
    <t>Add: 2009 non-partner Restricted share award</t>
  </si>
  <si>
    <t>PA Consulting Group Limited - Share Price</t>
  </si>
  <si>
    <t>YEAR</t>
  </si>
  <si>
    <t>MONTH</t>
  </si>
  <si>
    <t>DEALING PERIOD</t>
  </si>
  <si>
    <t>PRICE (GBP)</t>
  </si>
  <si>
    <t>Bonus</t>
  </si>
  <si>
    <t>Transaction date</t>
  </si>
  <si>
    <t>APR</t>
  </si>
  <si>
    <t>1 PAH</t>
  </si>
  <si>
    <t>Year</t>
  </si>
  <si>
    <t>Partner*</t>
  </si>
  <si>
    <t>Non-Partner**</t>
  </si>
  <si>
    <t>NOV</t>
  </si>
  <si>
    <t>2 PAH</t>
  </si>
  <si>
    <t>3 PAH</t>
  </si>
  <si>
    <t>4 PAH</t>
  </si>
  <si>
    <t>Share options</t>
  </si>
  <si>
    <t>5 PAH</t>
  </si>
  <si>
    <t>6 PAH</t>
  </si>
  <si>
    <t>XMAS</t>
  </si>
  <si>
    <t>MAY</t>
  </si>
  <si>
    <t>7 PAH</t>
  </si>
  <si>
    <t>8 PAH</t>
  </si>
  <si>
    <t>9 PAH</t>
  </si>
  <si>
    <t>10 PAH</t>
  </si>
  <si>
    <t>11 PAH</t>
  </si>
  <si>
    <t>12 PAH</t>
  </si>
  <si>
    <t>MAR</t>
  </si>
  <si>
    <t>13 PAH</t>
  </si>
  <si>
    <t>Bonus shares</t>
  </si>
  <si>
    <t>SEP</t>
  </si>
  <si>
    <t>14 PAH</t>
  </si>
  <si>
    <t>1995 1996 1997</t>
  </si>
  <si>
    <t>95- 01/03/01  96- 01/03/02  97- 01/03/03</t>
  </si>
  <si>
    <t>95- 01/03/99 96- 01/03/00  97- 01/03/01</t>
  </si>
  <si>
    <t>15 PAH</t>
  </si>
  <si>
    <t>16 PAH</t>
  </si>
  <si>
    <t>17 PAH</t>
  </si>
  <si>
    <t>18 PAH</t>
  </si>
  <si>
    <t>19 PAH</t>
  </si>
  <si>
    <t>20 PAH</t>
  </si>
  <si>
    <t>21 PAH</t>
  </si>
  <si>
    <t>22 PAH</t>
  </si>
  <si>
    <t>23 PAH</t>
  </si>
  <si>
    <t>24 PAH</t>
  </si>
  <si>
    <t>Performance share options</t>
  </si>
  <si>
    <t>25 PAH</t>
  </si>
  <si>
    <t>Award date</t>
  </si>
  <si>
    <t>Vest date</t>
  </si>
  <si>
    <t>Lapse date</t>
  </si>
  <si>
    <t>26 PAH</t>
  </si>
  <si>
    <t>27 PAH</t>
  </si>
  <si>
    <t>28 PAH</t>
  </si>
  <si>
    <t>DEC</t>
  </si>
  <si>
    <t>29 PAH</t>
  </si>
  <si>
    <t>30 PAH</t>
  </si>
  <si>
    <t>31 PAH</t>
  </si>
  <si>
    <t>32 PAH</t>
  </si>
  <si>
    <t>1 PACG</t>
  </si>
  <si>
    <t>2 PACG</t>
  </si>
  <si>
    <t>3 PACG</t>
  </si>
  <si>
    <t>4 PACG</t>
  </si>
  <si>
    <t>2009 UK Partner award</t>
  </si>
  <si>
    <t>-</t>
  </si>
  <si>
    <t>5 PACG</t>
  </si>
  <si>
    <t>2009 All other awards</t>
  </si>
  <si>
    <t>6 PACG</t>
  </si>
  <si>
    <t>Pre-1992 Transactions</t>
  </si>
  <si>
    <t>Price (GBP)</t>
  </si>
  <si>
    <t>OCT</t>
  </si>
  <si>
    <t>Transferred Shares</t>
  </si>
  <si>
    <t>1988 Equity - Free Shares</t>
  </si>
  <si>
    <t>JUL</t>
  </si>
  <si>
    <t>Nil Paid Quasi Shares</t>
  </si>
  <si>
    <t>1988 Equity - Matching Shares</t>
  </si>
  <si>
    <t>Share Market One</t>
  </si>
  <si>
    <t>Share Market Two</t>
  </si>
  <si>
    <t>Share Market Three</t>
  </si>
  <si>
    <t>Share Market Four</t>
  </si>
  <si>
    <t>This is a reference table</t>
  </si>
  <si>
    <t>2011/12</t>
  </si>
  <si>
    <t>Add: 2010 Restricted share award</t>
  </si>
  <si>
    <t>2006/2008 Restricted shares vesting</t>
  </si>
  <si>
    <t>2011/12 Tax Return - Capital Gains Tax reporting</t>
  </si>
  <si>
    <t>2011/12 Computation Working Sheet for PA Shares:</t>
  </si>
  <si>
    <t>Information to be reported on 2011/12 Capital Gains page CG1</t>
  </si>
  <si>
    <t>Information to be reported on 2011/12 Capital Gains page CG2</t>
  </si>
  <si>
    <t xml:space="preserve">Below data is also needed to complete the capital gains section if you are filing online. </t>
  </si>
  <si>
    <t>Is this greater than 4 x £10,600 exemption</t>
  </si>
  <si>
    <t>Is this greater than £10,600 exemption</t>
  </si>
  <si>
    <t>Unrestricted PA shares</t>
  </si>
  <si>
    <t>Restricted PA shares</t>
  </si>
  <si>
    <t>Source</t>
  </si>
  <si>
    <t>Ipex shares</t>
  </si>
  <si>
    <t>Base cost</t>
  </si>
  <si>
    <t>Total</t>
  </si>
  <si>
    <t>Average cost per Ipex share</t>
  </si>
  <si>
    <t>Base cost of your Ipex shares</t>
  </si>
  <si>
    <t>The base cost of your Ipex Holdings Limited shares will be available to offset against any redemption value of these shares.   Any loss on redemption will be available to offset against later PA or other share gains.</t>
  </si>
  <si>
    <t>2007 Share Options</t>
  </si>
  <si>
    <t>Description information</t>
  </si>
  <si>
    <t>Description of asset:</t>
  </si>
  <si>
    <t xml:space="preserve">  If exercised in September 2011 then (£8.72 sale price less £5.50 cost price = £3.22 gain).                           If exercised in  March 2012 then (£9.33 sale price less £5.50 cost price = £3.83) </t>
  </si>
  <si>
    <t>Did you exercise and immediately sell any 2007 year share options in either September 2011 or March 2012?</t>
  </si>
  <si>
    <t>7 PACG</t>
  </si>
  <si>
    <t>8 PACG</t>
  </si>
  <si>
    <t>2012/13</t>
  </si>
  <si>
    <t>Add: 2011 Restricted share award</t>
  </si>
  <si>
    <t>2007/2009 Restricted shares vesting</t>
  </si>
  <si>
    <t>2012/13 Tax Return - Capital Gains Tax reporting</t>
  </si>
  <si>
    <t>Information to be reported on 2012/13 Capital Gains page CG2</t>
  </si>
  <si>
    <t>Information to be reported on 2012/13 Capital Gains page CG1</t>
  </si>
  <si>
    <t>Box 6 Total Losses of the year (enter 0 if none)</t>
  </si>
  <si>
    <t xml:space="preserve">Box 7  Losses brought forward and used in the year </t>
  </si>
  <si>
    <t>Box 12  Losses used against income (2011/12 income)</t>
  </si>
  <si>
    <t>Box 13  Losses used against income (2010/11 income)</t>
  </si>
  <si>
    <t>Box 4   Entrepreneurs' relief</t>
  </si>
  <si>
    <t xml:space="preserve">This sheet should be submitted to HMRC to provide details of the gains made on each disposal of PA shares during the tax year. </t>
  </si>
  <si>
    <t>2012/13 Computation Working Sheet for PA Shares:</t>
  </si>
  <si>
    <t>The gains are calculated as per the S104 holdings worksheet.</t>
  </si>
  <si>
    <t>Box 12  Losses used against income (2012/13 income)</t>
  </si>
  <si>
    <t>Box 13  Losses used against income (2011/12 income)</t>
  </si>
  <si>
    <t>Box 14   Income losses of 2012/13 set against gains</t>
  </si>
  <si>
    <t>Where you are filing online, you should print a copy of this section to a PDF file, then upload the file as part of your return.</t>
  </si>
  <si>
    <t>Box 11  Losses used against an earlier year's gain</t>
  </si>
  <si>
    <t>Box 8  Adjustment to Capital Gains Tax</t>
  </si>
  <si>
    <t>Box 8  Additional liability in respect of non/dual resident trusts</t>
  </si>
  <si>
    <t>Box 14  Income losses of 2011/12 set against gains</t>
  </si>
  <si>
    <t>2007 / 2008 Share Options (immediate sale)</t>
  </si>
  <si>
    <t xml:space="preserve">in any doubt about your tax affairs, you should engage your own qualified tax adviser. </t>
  </si>
  <si>
    <t>Instructions for spreadsheet use and, if applicable, for setting your base cost apportionment</t>
  </si>
  <si>
    <t>2013/14</t>
  </si>
  <si>
    <t>Add: 2012 Restricted share award</t>
  </si>
  <si>
    <t>2008/2010 Restricted shares vesting</t>
  </si>
  <si>
    <t>Shares redeemed</t>
  </si>
  <si>
    <t>PACG2 shares</t>
  </si>
  <si>
    <t>Base cost of your PACG2 Redeemable shares</t>
  </si>
  <si>
    <t>Average cost per PACG2 Redeemable share</t>
  </si>
  <si>
    <t>Did you exercise and immediately sell any 2007 or 2008 year share options in either September 2012 or March 2013?</t>
  </si>
  <si>
    <t>START HERE if you held PA shares at 6 April 2008:</t>
  </si>
  <si>
    <t>9 PACG</t>
  </si>
  <si>
    <t>New joiner and promotion share options</t>
  </si>
  <si>
    <t>PA Shareholdings at Reorganisation</t>
  </si>
  <si>
    <t>PACG share price at date of first sale + your view of the Ipex share value</t>
  </si>
  <si>
    <t>Your view of the Ipex share value at date of your first sale</t>
  </si>
  <si>
    <t>Ipex Holdings Limited share holding</t>
  </si>
  <si>
    <t>Number of shares held</t>
  </si>
  <si>
    <t>Base cost of shares held</t>
  </si>
  <si>
    <t>Gain / Loss on redemption</t>
  </si>
  <si>
    <t>Use this sheet to summarise any gains made on your Ipex Holdings Limited and PACG2 Redeemable share redemptions.</t>
  </si>
  <si>
    <t>Share Transactions when redeem your Ipex Holdings Limited shares</t>
  </si>
  <si>
    <t>Any gains made are included in the capital gains tax reporting tabs for the year of redemption.</t>
  </si>
  <si>
    <t>18/06/210</t>
  </si>
  <si>
    <t xml:space="preserve">Redeemable Share price </t>
  </si>
  <si>
    <t>Tax year</t>
  </si>
  <si>
    <t>2014/15</t>
  </si>
  <si>
    <t>2015/16</t>
  </si>
  <si>
    <t>Gains made per tax year</t>
  </si>
  <si>
    <t>January 2013</t>
  </si>
  <si>
    <t>Redemption request date</t>
  </si>
  <si>
    <t>Payment date</t>
  </si>
  <si>
    <t>July 2013</t>
  </si>
  <si>
    <t>Approximate</t>
  </si>
  <si>
    <t>July 2014</t>
  </si>
  <si>
    <t>July 2015</t>
  </si>
  <si>
    <t>January 2014</t>
  </si>
  <si>
    <t>Note this is a part redemption with the second part in January 2014</t>
  </si>
  <si>
    <t>Total capital gains exempt amount for 2014/15 tax year has been announced as £11,000</t>
  </si>
  <si>
    <t>Total capital gains exempt amount for 2015/16 tax year has been announced as £11,100</t>
  </si>
  <si>
    <t>Total capital gains exempt amount for 2012/13 tax year is £10,600</t>
  </si>
  <si>
    <t>Shares Sold / Redeemed</t>
  </si>
  <si>
    <t>Your gain is the redemption price of £3.1749 less the base cost attributed to your Redeemable shares</t>
  </si>
  <si>
    <t>Redemption of PA redeemable shares</t>
  </si>
  <si>
    <t>Did you request to redeem any PA redeemable shares in December 2012?</t>
  </si>
  <si>
    <t>Total capital gains exempt amount for 2013/14 tax year has been announced as £10,900</t>
  </si>
  <si>
    <t>2013/14 Tax Return - Capital Gains Tax reporting</t>
  </si>
  <si>
    <t>Redemption of PACG2 redeemable shares</t>
  </si>
  <si>
    <t>Is this greater than 4 x £10,900 exemption</t>
  </si>
  <si>
    <t>Is this greater than £10,900 exemption</t>
  </si>
  <si>
    <t>Your PA share history</t>
  </si>
  <si>
    <t>Add: 2013 Restricted share award</t>
  </si>
  <si>
    <t>2009/2011 Restricted shares vesting</t>
  </si>
  <si>
    <t xml:space="preserve"> 2007 year share options: If exercised in September 2012 then (£9.76 sale price less £5.50 cost price = £4.26 gain);  If exercised in March 2013 then (£6.27 sale price less £1.19 cost price = £5.08 gain). 2008 year share options: If exercised in September 2012 then (£9.76 sale price less £6.88 cost price = £2.88 gain);  If exercised in March 2013 then (£6.27 sale price less £2.57 cost price = £3.70 gain).</t>
  </si>
  <si>
    <t>Did you exercise and immediately sell any 2007 or 2008 year share options in either September 2013 or March 2014?</t>
  </si>
  <si>
    <t>Your gain is the redemption price of £3.1749 or £1.1339 less the base cost attributed to your Redeemable shares</t>
  </si>
  <si>
    <t>Box 12  Losses used against income (2013/14 income)</t>
  </si>
  <si>
    <t>Box 13  Losses used against income (2012/13 income)</t>
  </si>
  <si>
    <t>Box 14   Income losses of 2013/14 set against gains</t>
  </si>
  <si>
    <t>Box 3 Total Gains</t>
  </si>
  <si>
    <t>Box 5 Seed Enterprise Investment Scheme</t>
  </si>
  <si>
    <t>Box 8  Adjustment to CGT</t>
  </si>
  <si>
    <t>May be required where you are a foreign national</t>
  </si>
  <si>
    <t>Box 15   Deferred gains from before 23 June 2010 qualifying for Entrepreneurs' Relief</t>
  </si>
  <si>
    <t>Number of disposals</t>
  </si>
  <si>
    <t>Allowable costs (including purchase price)</t>
  </si>
  <si>
    <t>Information to be reported on 2012/13 online tax return: Unlisted shares and securities</t>
  </si>
  <si>
    <t>Gain in the year before losses</t>
  </si>
  <si>
    <t>If you are making an claim or election, put "X" in box</t>
  </si>
  <si>
    <t>If your comp. includes estimates/ valuation, put "X" in box</t>
  </si>
  <si>
    <t>PACG Redeemable share holding</t>
  </si>
  <si>
    <t>The base cost of your PACG Redeemable shares will be available to offset against any redemption value of these shares.</t>
  </si>
  <si>
    <r>
      <t xml:space="preserve">See cells R11 to T20 of </t>
    </r>
    <r>
      <rPr>
        <b/>
        <sz val="12"/>
        <color indexed="8"/>
        <rFont val="Calibri"/>
        <family val="2"/>
        <scheme val="minor"/>
      </rPr>
      <t>s104 holding</t>
    </r>
    <r>
      <rPr>
        <sz val="12"/>
        <color indexed="8"/>
        <rFont val="Calibri"/>
        <family val="2"/>
        <scheme val="minor"/>
      </rPr>
      <t xml:space="preserve"> sheet for how much of your PA base cost flows into your Ipex Holdings Limited shares</t>
    </r>
  </si>
  <si>
    <r>
      <rPr>
        <b/>
        <u/>
        <sz val="12"/>
        <rFont val="Calibri"/>
        <family val="2"/>
        <scheme val="minor"/>
      </rPr>
      <t xml:space="preserve">PACG2 Ordinary Share price </t>
    </r>
    <r>
      <rPr>
        <u/>
        <sz val="12"/>
        <rFont val="Calibri"/>
        <family val="2"/>
        <scheme val="minor"/>
      </rPr>
      <t>at date of first sale, redemption or transfer divided by</t>
    </r>
  </si>
  <si>
    <r>
      <rPr>
        <b/>
        <sz val="12"/>
        <rFont val="Calibri"/>
        <family val="2"/>
        <scheme val="minor"/>
      </rPr>
      <t xml:space="preserve">PACG2 Ordinary Share price </t>
    </r>
    <r>
      <rPr>
        <sz val="12"/>
        <rFont val="Calibri"/>
        <family val="2"/>
        <scheme val="minor"/>
      </rPr>
      <t>at date of first sale, redemption or transfer + PACG2 redeemable share price</t>
    </r>
  </si>
  <si>
    <r>
      <t xml:space="preserve">See cells R80 to T91 of </t>
    </r>
    <r>
      <rPr>
        <b/>
        <i/>
        <sz val="12"/>
        <color indexed="8"/>
        <rFont val="Calibri"/>
        <family val="2"/>
        <scheme val="minor"/>
      </rPr>
      <t>s104 holding</t>
    </r>
    <r>
      <rPr>
        <i/>
        <sz val="12"/>
        <color indexed="8"/>
        <rFont val="Calibri"/>
        <family val="2"/>
        <scheme val="minor"/>
      </rPr>
      <t xml:space="preserve"> sheet for how much of your PA base cost flows into your Redeemable PA shares</t>
    </r>
  </si>
  <si>
    <r>
      <t xml:space="preserve">Date Restrictions Lift </t>
    </r>
    <r>
      <rPr>
        <b/>
        <sz val="9"/>
        <color theme="0"/>
        <rFont val="Calibri"/>
        <family val="2"/>
        <scheme val="minor"/>
      </rPr>
      <t>(on relevant % of shares acquired)</t>
    </r>
  </si>
  <si>
    <r>
      <t xml:space="preserve">Use this sheet to insert in the </t>
    </r>
    <r>
      <rPr>
        <b/>
        <sz val="16"/>
        <rFont val="Calibri"/>
        <family val="2"/>
        <scheme val="minor"/>
      </rPr>
      <t>yellow</t>
    </r>
    <r>
      <rPr>
        <sz val="12"/>
        <rFont val="Calibri"/>
        <family val="2"/>
        <scheme val="minor"/>
      </rPr>
      <t xml:space="preserve"> highlighted boxes your transactions in PA shares, then review the relevant Tax Return year worksheet.</t>
    </r>
  </si>
  <si>
    <t>Redemption per share</t>
  </si>
  <si>
    <t xml:space="preserve">Proceeds received on </t>
  </si>
  <si>
    <t>on redemption</t>
  </si>
  <si>
    <t xml:space="preserve">Proceeds received </t>
  </si>
  <si>
    <t>per share</t>
  </si>
  <si>
    <t xml:space="preserve">Base cost </t>
  </si>
  <si>
    <t>shares redeemed</t>
  </si>
  <si>
    <t xml:space="preserve">Number of </t>
  </si>
  <si>
    <t xml:space="preserve">Gain made </t>
  </si>
  <si>
    <r>
      <t xml:space="preserve">Insert in the </t>
    </r>
    <r>
      <rPr>
        <b/>
        <sz val="16"/>
        <rFont val="Calibri"/>
        <family val="2"/>
        <scheme val="minor"/>
      </rPr>
      <t>yellow</t>
    </r>
    <r>
      <rPr>
        <sz val="12"/>
        <rFont val="Calibri"/>
        <family val="2"/>
        <scheme val="minor"/>
      </rPr>
      <t xml:space="preserve"> highlighted boxes your transactions in Ipex and PACG Redeemable shares</t>
    </r>
  </si>
  <si>
    <r>
      <t xml:space="preserve">Working section to determine if you need to complete the CGT pages </t>
    </r>
    <r>
      <rPr>
        <sz val="12"/>
        <rFont val="Calibri"/>
        <family val="2"/>
        <scheme val="minor"/>
      </rPr>
      <t>(Not required to be submitted with your return)</t>
    </r>
  </si>
  <si>
    <r>
      <t>Insert in the</t>
    </r>
    <r>
      <rPr>
        <sz val="16"/>
        <color theme="0"/>
        <rFont val="Calibri"/>
        <family val="2"/>
        <scheme val="minor"/>
      </rPr>
      <t xml:space="preserve"> yellow</t>
    </r>
    <r>
      <rPr>
        <sz val="12"/>
        <color theme="0"/>
        <rFont val="Calibri"/>
        <family val="2"/>
        <scheme val="minor"/>
      </rPr>
      <t xml:space="preserve"> highlighted boxes your transactions </t>
    </r>
  </si>
  <si>
    <r>
      <t xml:space="preserve">Working section to determine if you need to complete the CGT pages </t>
    </r>
    <r>
      <rPr>
        <sz val="12"/>
        <color rgb="FF4F81BD"/>
        <rFont val="Calibri"/>
        <family val="2"/>
        <scheme val="minor"/>
      </rPr>
      <t>(Not required to be submitted with your return)</t>
    </r>
  </si>
  <si>
    <r>
      <t xml:space="preserve">Where you are filing online, you should save a </t>
    </r>
    <r>
      <rPr>
        <i/>
        <u/>
        <sz val="12"/>
        <rFont val="Calibri"/>
        <family val="2"/>
        <scheme val="minor"/>
      </rPr>
      <t>values only</t>
    </r>
    <r>
      <rPr>
        <i/>
        <sz val="12"/>
        <rFont val="Calibri"/>
        <family val="2"/>
        <scheme val="minor"/>
      </rPr>
      <t xml:space="preserve"> copy of this section only to a new Excel file, then upload the file as part of your return.</t>
    </r>
  </si>
  <si>
    <r>
      <t xml:space="preserve">Did you exercise and immediately sell any 2004 year share options on </t>
    </r>
    <r>
      <rPr>
        <b/>
        <sz val="12"/>
        <rFont val="Calibri"/>
        <family val="2"/>
        <scheme val="minor"/>
      </rPr>
      <t>20 June 2008</t>
    </r>
    <r>
      <rPr>
        <sz val="12"/>
        <rFont val="Calibri"/>
        <family val="2"/>
        <scheme val="minor"/>
      </rPr>
      <t xml:space="preserve"> (immediately ahead of the Ipex demerger)?</t>
    </r>
  </si>
  <si>
    <t>START HERE if you first bought PA shares in SEPTEMBER 2008 or LATER</t>
  </si>
  <si>
    <t>PACG March 2013</t>
  </si>
  <si>
    <t>PACG March 2014</t>
  </si>
  <si>
    <t>PACG September 2013</t>
  </si>
  <si>
    <t>Your Ipex Holdings Limited shares were liquidated on 18 December 2013.   An 'LPU2' unit was issued for each share held at liquidation.  You need to determine the value of this unit (if any) and then place the aggregate value of your Ipex liquidation proceeds into the 'Ipex and PACG Redeemables' sheet to determine if you have a gain to report in 2013/14 tax year or losses you can use against any gains in 2013/14 years or later tax years.</t>
  </si>
  <si>
    <r>
      <t xml:space="preserve">Your aggregate proceeds on the cancellation of your Ipex Holdings Limited shares in December 2013   </t>
    </r>
    <r>
      <rPr>
        <sz val="12"/>
        <rFont val="Calibri"/>
        <family val="2"/>
        <scheme val="minor"/>
      </rPr>
      <t>(you can include a formula here, say 2p x the above number of shares held</t>
    </r>
  </si>
  <si>
    <t>Gain / Loss on liquidation of Ipex Holdings shares</t>
  </si>
  <si>
    <t>The base cost of your PACG2 Redeemable shares will be available to offset against any redemption value of these shares.  Noting that PACG2 became PA Consulting Group Limited in a change of name in late December 2012.</t>
  </si>
  <si>
    <r>
      <t xml:space="preserve">PA / Ipex Share base cost apportionment: </t>
    </r>
    <r>
      <rPr>
        <sz val="12"/>
        <rFont val="Calibri"/>
        <family val="2"/>
        <scheme val="minor"/>
      </rPr>
      <t>Enter below the PA share price and Ipex Holdings share price at date of first sale or transfer of either share.  Make no entry here until your first sale or transfer happens.   Noting Ipex shares were all cancelled in December 2013, the valuation of the shares prior to cancellation was £0.10 when new investors purchased shares in Ipex Holdings Limited.</t>
    </r>
  </si>
  <si>
    <t xml:space="preserve"> 2007 year share options: If exercised in September 2013 then (£6.68 sale price less £1.19 cost price = £5.49 gain);  If exercised in March 2014 then (£7.30 sale price less £1.19 cost price = £6.11 gain). 2008 year share options: If exercised in September 2013 then (£6.68 sale price less £2.57 cost price = £4.11 gain);  If exercised in March 2014 then (£7.30 sale price less £2.57 cost price = £4.73 gain).</t>
  </si>
  <si>
    <t>2014/15 Tax Return - Capital Gains Tax reporting</t>
  </si>
  <si>
    <t>Your gain is the redemption price of £4.3088 less the base cost attributed to your Redeemable shares</t>
  </si>
  <si>
    <t>Is this greater than 4 x £11,000 exemption</t>
  </si>
  <si>
    <t>Is this greater than £11,000 exemption</t>
  </si>
  <si>
    <t>Information to be reported on 2014/15 Capital Gains page CG1</t>
  </si>
  <si>
    <t>Information to be reported on 2014/15 Capital Gains page CG2</t>
  </si>
  <si>
    <t>Number of Options sold</t>
  </si>
  <si>
    <t>Type of Options sold</t>
  </si>
  <si>
    <t>2007 year</t>
  </si>
  <si>
    <t>2008 year</t>
  </si>
  <si>
    <t xml:space="preserve">Granted April 2011 </t>
  </si>
  <si>
    <t>Granted June 2011</t>
  </si>
  <si>
    <t>Did you redeem any PACG2 redeemable shares in July 2014?</t>
  </si>
  <si>
    <t>Approved Share Options (immediate sale)</t>
  </si>
  <si>
    <t xml:space="preserve">We recommend that you use the notes below if you are required to report Capital Gains on your tax return. </t>
  </si>
  <si>
    <t>When reporting Capital Gains on your online tax return HMRC will give you the option of using their worksheet. This worksheet cannot be used for share sales, and as such you should choose not to use their worksheet and instead to work out the gain yourself.</t>
  </si>
  <si>
    <t>Information to be reported on 2013/14 online tax return in the Unlisted shares and securities section</t>
  </si>
  <si>
    <t>You need to add any non-PA share gains to the below PA share data</t>
  </si>
  <si>
    <t>Information to be reported on 2013/14 Paper Capital Gains page CG1</t>
  </si>
  <si>
    <t>Information to be reported on 2013/14 Paper Capital Gains page CG2</t>
  </si>
  <si>
    <t>Information to be reported on 2013/14 online tax return in the Summary of your Computations section</t>
  </si>
  <si>
    <t>Total gains</t>
  </si>
  <si>
    <t>Gains Invested under Seed Enterprise Investment Scheme</t>
  </si>
  <si>
    <t>Total losses of the year</t>
  </si>
  <si>
    <t>Automatically completed</t>
  </si>
  <si>
    <t>Gains Qualifying for Entrepreneur's Relief</t>
  </si>
  <si>
    <t>You must offset any losses against your gains in the tax year, any excess losses can be carried forward against the first available gains made in the future. You cannot offset any Ipex losses against income or prior year gains.</t>
  </si>
  <si>
    <t>Do you want to claim to deduct losses from chargeable gains of an earlier year, to claim capital losses against your income of this tax year or the previous year or to deduct income losses of this tax year from capital gains of this tax year?</t>
  </si>
  <si>
    <t>Information to be reported on 2014/15 online tax return in the Unlisted shares and securities section</t>
  </si>
  <si>
    <t>Losses brought forward and used in the year</t>
  </si>
  <si>
    <t>Adjustment to Capital Gains Tax</t>
  </si>
  <si>
    <t>Additional liability in respect of non-resident or dual resident trusts</t>
  </si>
  <si>
    <t>Deferred gains from before 23 June 2010 qualifying for Entrepreneurs Relief</t>
  </si>
  <si>
    <t>Losses available to be carried forward to later years</t>
  </si>
  <si>
    <t>Did you request to redeem any PACG2 redeemable shares in May or  November 2013?</t>
  </si>
  <si>
    <r>
      <rPr>
        <b/>
        <sz val="18"/>
        <rFont val="Calibri"/>
        <family val="2"/>
        <scheme val="minor"/>
      </rPr>
      <t xml:space="preserve">Unlisted </t>
    </r>
    <r>
      <rPr>
        <b/>
        <sz val="12"/>
        <rFont val="Calibri"/>
        <family val="2"/>
        <scheme val="minor"/>
      </rPr>
      <t>shares and securities</t>
    </r>
  </si>
  <si>
    <t>Less: brought forward losses used this year:</t>
  </si>
  <si>
    <t>Losses brought forward / carried forward</t>
  </si>
  <si>
    <t>from prior year</t>
  </si>
  <si>
    <t>Losses used to offset gains this year</t>
  </si>
  <si>
    <t>Losses carried forward</t>
  </si>
  <si>
    <t>Your total chargeable gains for the year:</t>
  </si>
  <si>
    <t>Chargeable gains or losses</t>
  </si>
  <si>
    <t>Gain/Loss</t>
  </si>
  <si>
    <t>PACG September 2014</t>
  </si>
  <si>
    <t>Note if you invested new monies in Ipex Holdings shares in December 2013, you should take advise on whether to transfer whole base cost into LPU2s or whether you can take a loss on the LPU2s.</t>
  </si>
  <si>
    <t>Add: 2014 Restricted share award</t>
  </si>
  <si>
    <t>PACG March 2015</t>
  </si>
  <si>
    <t>Did you exercise and immediately sell any approved 2007 or 2008 year share options or approved granted 2011 April/June new joiner/promotion share options in September 2014?</t>
  </si>
  <si>
    <t>2007 year share options: £7.88 sale price less £1.19 cost price = £6.69 gain
2008 year share options: £7.88 sale price less £2.57 cost price = £5.31 gain
2011 April/June new joiner/promotion share options: £7.88 sale price less £4.00 cost price = £3.88 gain</t>
  </si>
  <si>
    <t>2007 year share options: £8.91 sale price less £1.19 cost price = £7.72 gain
2008 year share options: £8.91 sale price less £2.57 cost price = £6.34 gain
2011 April/June new joiner/promotion share options: £8.91 sale price less £4.00 cost price = £4.91 gain</t>
  </si>
  <si>
    <t>2015/16 Tax Return - Capital Gains Tax reporting</t>
  </si>
  <si>
    <t>The below assumes that the tax return reporting requirements are not changed for the 2015/16 year</t>
  </si>
  <si>
    <t>Did you redeem any PACG2 redeemable shares in July 2015?</t>
  </si>
  <si>
    <t>Is this greater than 4 x £11,100 exemption</t>
  </si>
  <si>
    <t>Is this greater than £11,100 exemption</t>
  </si>
  <si>
    <t>Information to be reported on 2015/16 online tax return in the Unlisted shares and securities section</t>
  </si>
  <si>
    <t>Information to be reported on 2014/15 online tax return in the Summary of your Computations section</t>
  </si>
  <si>
    <t>Information to be reported on 2015/16 online tax return in the Summary of your Computations section</t>
  </si>
  <si>
    <t>Information to be reported on 2015/16 Capital Gains page CG1</t>
  </si>
  <si>
    <t>Information to be reported on 2015/16 Capital Gains page CG2</t>
  </si>
  <si>
    <t>Did you exercise and immediately sell any approved 2007 or 2008 year share options or approved granted 2011 April/June/October new joiner/promotion share options in March 2015?</t>
  </si>
  <si>
    <t>On the tab "PA Share History"</t>
  </si>
  <si>
    <t>On the tab "s104 holdings"</t>
  </si>
  <si>
    <t>This is identifying any transactions in PA shares between 06/04/2008 and 20/06/2008</t>
  </si>
  <si>
    <t>This is identifying any transactions in PA shares between 24/06/2008 and 07/12/2012</t>
  </si>
  <si>
    <t>This is to identify your Bonus Share Purchase Plan restricted shares at this date which form a single Restricted share pool.   For non-partners, this will be 2005 and 2006 year restricted shares.  Partners will also have 2003 and 2004 shares under restriction. The average base cost per share is determined by dividing total base cost by number of restricted shares.</t>
  </si>
  <si>
    <t>The base cost of your PA shares held on 7 December 2012 is apportioned between on-going PACG2 ordinary shares and redeemable shares based on their respective prices at date of first sale, redemption or share transfer.</t>
  </si>
  <si>
    <r>
      <t xml:space="preserve">PA Share Reorganisation base cost apportionment: </t>
    </r>
    <r>
      <rPr>
        <sz val="12"/>
        <rFont val="Calibri"/>
        <family val="2"/>
        <scheme val="minor"/>
      </rPr>
      <t>Enter below the PACG2 ordinary share price and redeemable share price at date of first sale, redemption or transfer of either share</t>
    </r>
  </si>
  <si>
    <t>This is identifying any transactions in PA shares from 01/03/2013</t>
  </si>
  <si>
    <t>On the tab "Ipex &amp; PACG Redeemable shares"</t>
  </si>
  <si>
    <t>Add the proceeds you receive from your redemption of Ipex shares, if any.</t>
  </si>
  <si>
    <t>Add details of the PACG2 shares you redeemed, if any.</t>
  </si>
  <si>
    <t>On the tab "PA Share price table"</t>
  </si>
  <si>
    <t>On this tab</t>
  </si>
  <si>
    <t>Update the relevant tax return tab for the tax year concerning you</t>
  </si>
  <si>
    <t>This will help you identify if you have any capital gains tax to pay and/or if you are obliged to report your capital gains to HMRC for the relevant year.</t>
  </si>
  <si>
    <t>Note that this calculator covers all possible transactions in PA shares and as such you may not have transactions to enter into every yellow highlighted box.</t>
  </si>
  <si>
    <t>The base cost of your PA shares held on 24 June 2008 is apportioned between on-going PA shares and Ipex shares based on their respective prices at date of first sale or share transfer.   They Ipex Holdings Limited shares were in December 2013 all cancelled on liquidation of that company upon which shareholders received a new non-voting, non-transferable 'LPU2' interest in the Ipex Fund.  These units in aggregate carry same potential return value on a realisation of an underlying venture as the original shares, but note that there are substantially more LPU2s than Ipex shares issued in 2008 as a result of new shares being issued in the company to investors at a 10p value immediately prior to winding up.    Your choice is to consider the Ipex share value to be 10p at liquidation or to assess that the new LPU2 units distributed are worth less than this, perhaps as low as zero if you consider that no value will be derived from the Fund.</t>
  </si>
  <si>
    <t>PACG2 Ordinary Share price at December 2012 (this is likely to be the PACG2 Ordinary share price at date of first sale, redemption if you redeemed at the earliest opportunity)</t>
  </si>
  <si>
    <r>
      <t xml:space="preserve">Use this calculator by reading the instructions below and inserting details of your PA share transactions in the </t>
    </r>
    <r>
      <rPr>
        <b/>
        <sz val="16"/>
        <rFont val="Calibri"/>
        <family val="2"/>
        <scheme val="minor"/>
      </rPr>
      <t>yellow</t>
    </r>
    <r>
      <rPr>
        <sz val="12"/>
        <rFont val="Calibri"/>
        <family val="2"/>
        <scheme val="minor"/>
      </rPr>
      <t xml:space="preserve"> highlighted boxes throughout the calculator.</t>
    </r>
  </si>
  <si>
    <t>Run your "PA Share History" report from Pyramid to obtain details of all your PA share purchases and sales . You should use this detail to complete the yellow highlighted boxes throughout the calculator.</t>
  </si>
  <si>
    <t>Review this table as it will assist you in completing the calculator.</t>
  </si>
  <si>
    <r>
      <t xml:space="preserve">Calculate your PA shares </t>
    </r>
    <r>
      <rPr>
        <b/>
        <sz val="12"/>
        <rFont val="Calibri"/>
        <family val="2"/>
        <scheme val="minor"/>
      </rPr>
      <t>Restricted share holding</t>
    </r>
    <r>
      <rPr>
        <sz val="12"/>
        <rFont val="Calibri"/>
        <family val="2"/>
        <scheme val="minor"/>
      </rPr>
      <t xml:space="preserve"> at 6 April 2008.</t>
    </r>
  </si>
  <si>
    <r>
      <t xml:space="preserve">Calculate your PA shares </t>
    </r>
    <r>
      <rPr>
        <b/>
        <sz val="12"/>
        <rFont val="Calibri"/>
        <family val="2"/>
        <scheme val="minor"/>
      </rPr>
      <t>Unrestricted share holding</t>
    </r>
    <r>
      <rPr>
        <sz val="12"/>
        <rFont val="Calibri"/>
        <family val="2"/>
        <scheme val="minor"/>
      </rPr>
      <t xml:space="preserve"> at 6 April 2008</t>
    </r>
  </si>
  <si>
    <r>
      <t>Work through the s</t>
    </r>
    <r>
      <rPr>
        <i/>
        <sz val="12"/>
        <rFont val="Calibri"/>
        <family val="2"/>
        <scheme val="minor"/>
      </rPr>
      <t>104 holdings</t>
    </r>
    <r>
      <rPr>
        <sz val="12"/>
        <rFont val="Calibri"/>
        <family val="2"/>
        <scheme val="minor"/>
      </rPr>
      <t xml:space="preserve"> worksheet to 7 December 2012 (date of reorganisation) inserting details of your transactions, if any, between row 15 and row 82</t>
    </r>
  </si>
  <si>
    <r>
      <t>Work through the s</t>
    </r>
    <r>
      <rPr>
        <i/>
        <sz val="12"/>
        <rFont val="Calibri"/>
        <family val="2"/>
        <scheme val="minor"/>
      </rPr>
      <t>104 holdings</t>
    </r>
    <r>
      <rPr>
        <sz val="12"/>
        <rFont val="Calibri"/>
        <family val="2"/>
        <scheme val="minor"/>
      </rPr>
      <t xml:space="preserve"> worksheet to 24 June 2008 (date of demerger) inserting details of your transactions, if any, between row 7 and row 13</t>
    </r>
  </si>
  <si>
    <r>
      <t>Work through the s</t>
    </r>
    <r>
      <rPr>
        <i/>
        <sz val="12"/>
        <rFont val="Calibri"/>
        <family val="2"/>
        <scheme val="minor"/>
      </rPr>
      <t>104 holdings</t>
    </r>
    <r>
      <rPr>
        <sz val="12"/>
        <rFont val="Calibri"/>
        <family val="2"/>
        <scheme val="minor"/>
      </rPr>
      <t xml:space="preserve"> worksheet from 1 March 2013 inserting details of your transactions, if any, from row 84 onwards</t>
    </r>
  </si>
  <si>
    <t>The Ipex Holdings shares were not sellable and not expected to deliver any gain on any sale or cancellation.   They were in December 2013 all cancelled on liquidation of Ipex Holdings Limited upon which shareholders received a new non-voting, non-transferable 'LPU2' interest in the Ipex Fund.  These units in aggregate carry same potential return value on a realisation of an underlying venture as the original shares, but note that there are substantially more LPU2s than Ipex shares issued in 2008 as a result of new shares being issued in the company to investors at a 10p value immediately prior to winding up.   In short, your new holding of LPU2s will give you only about 40% of the returns (if any arise) that your pre-December 2013 shareholding would have delivered.   Your choice is to consider the Ipex share value at liquidation to be 10p or to assess that the new LPU2 units distributed are worth less than this, perhaps as low as zero if you consider that no value will be derived from the Fund and your total potential returns from LPU2s can only ever be 40% of your returns on Ipex shares before the December 2013 further investment at 10p.</t>
  </si>
  <si>
    <t>Restricted shares vesting</t>
  </si>
  <si>
    <t>Step 13</t>
  </si>
  <si>
    <t>Former</t>
  </si>
  <si>
    <t>On the tabs "TR Pages"</t>
  </si>
  <si>
    <t>Current</t>
  </si>
  <si>
    <t xml:space="preserve">Select "Current" in the yellow highlighted cell to the right if you were a:
- Shareholder who is or was a director or employee of any member of the PA Group as of 1 August 2015 and who had not given or received notice of termination of their employment prior to 1 August 2015
- Option holder who is or was an employee of any member of the PA Group as of 1 August 2015 and who had not given or received notice of termination of their employment prior to 1 August 2015.
If neither of the above statements apply to you then select "Former" in the yellow highlighted cell </t>
  </si>
  <si>
    <r>
      <rPr>
        <b/>
        <sz val="12"/>
        <rFont val="Calibri"/>
        <family val="2"/>
        <scheme val="minor"/>
      </rPr>
      <t>ENTRY</t>
    </r>
    <r>
      <rPr>
        <sz val="12"/>
        <rFont val="Calibri"/>
        <family val="2"/>
        <scheme val="minor"/>
      </rPr>
      <t>: Enter below if you were a Current or Former employee at 1 August 2015</t>
    </r>
  </si>
  <si>
    <t>PACG December 2015</t>
  </si>
  <si>
    <t>Add: Nil cost Options for Shares</t>
  </si>
  <si>
    <t>Add: Nil cost Options for Options</t>
  </si>
  <si>
    <t>Add: Gifted Shares for Options</t>
  </si>
  <si>
    <t>Add: Gifted Shares for Shares</t>
  </si>
  <si>
    <t>Sale to the Carlyle Group</t>
  </si>
  <si>
    <t>Add: Option shares kept</t>
  </si>
  <si>
    <t>How the taxable gain is computed on the sale of your PA shares to the Carlyle Group</t>
  </si>
  <si>
    <t>Step 14</t>
  </si>
  <si>
    <t>Cash</t>
  </si>
  <si>
    <t>B Ordinary shares</t>
  </si>
  <si>
    <t>Per share held</t>
  </si>
  <si>
    <t>Value for all shares held</t>
  </si>
  <si>
    <t>Number</t>
  </si>
  <si>
    <t>Cost per share</t>
  </si>
  <si>
    <t>Total cost</t>
  </si>
  <si>
    <t>The cost of your legacy PA shares was as follows:</t>
  </si>
  <si>
    <t>Value taxable on completion</t>
  </si>
  <si>
    <t>Taxable gain in 2015/16</t>
  </si>
  <si>
    <t>The consideration you received for your legacy PA shares was as follows:</t>
  </si>
  <si>
    <t>Vendor Loan Note</t>
  </si>
  <si>
    <t>Preference shares</t>
  </si>
  <si>
    <t>As HMRC approved PA's application for rollover relief, only the gain attributed to the cash consideration your received is subject to capital gains tax in 2015/16 tax year.</t>
  </si>
  <si>
    <t>Your Personal Redemtion Page</t>
  </si>
  <si>
    <t>Per option used</t>
  </si>
  <si>
    <t>Number of options used</t>
  </si>
  <si>
    <t>Value for all options used</t>
  </si>
  <si>
    <t>START HERE if you first bought PA shares in MARCH 2013 or LATER</t>
  </si>
  <si>
    <t>To be used for 2016/17 tax year onwards</t>
  </si>
  <si>
    <t>As a result of the  Carlyle investment, the gain attributed to the cash consideration you received is subject to capital gains tax in 2015/16 tax year. Any VLN or new shares you received will be subject to capital gains tax in the year they are paid out as per the below schedule.</t>
  </si>
  <si>
    <t>A</t>
  </si>
  <si>
    <t>B</t>
  </si>
  <si>
    <t>Total value after cash adjustments</t>
  </si>
  <si>
    <t>A+B+C</t>
  </si>
  <si>
    <t>Cash adjustment</t>
  </si>
  <si>
    <t>C</t>
  </si>
  <si>
    <t>December 2015 value of rolled over consideration</t>
  </si>
  <si>
    <t>The base cost attributed here will be available when the asset is sold</t>
  </si>
  <si>
    <t>Did you redeem any PS.2006.0 alphabet shares in June 2015?</t>
  </si>
  <si>
    <t>Sale proceeds</t>
  </si>
  <si>
    <t xml:space="preserve">   You can find these details in the communication from SharePlans on 18 June 2015.  They are also provided on PA's 2015/16 income and benefit summary.</t>
  </si>
  <si>
    <t>The gains are calculated as per the S104 holdings worksheet or as per the working section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</si>
</sst>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8" formatCode="&quot;£&quot;#,##0.00;[Red]\-&quot;£&quot;#,##0.00"/>
    <numFmt numFmtId="164" formatCode="&quot;£&quot;#,##0.00"/>
    <numFmt numFmtId="165" formatCode="&quot;£&quot;#,##0"/>
    <numFmt numFmtId="166" formatCode="0.0%"/>
    <numFmt numFmtId="167" formatCode="dd/mm/yy"/>
    <numFmt numFmtId="168" formatCode="0.000"/>
    <numFmt numFmtId="169" formatCode="dd/mm/yyyy;@"/>
    <numFmt numFmtId="170" formatCode="#,##0_ ;[Red]\-#,##0\ "/>
    <numFmt numFmtId="171" formatCode="#,##0.000"/>
    <numFmt numFmtId="172" formatCode="&quot;£&quot;#,##0.00000"/>
    <numFmt numFmtId="173" formatCode="&quot;£&quot;#,##0.0000"/>
    <numFmt numFmtId="174" formatCode="&quot;£&quot;#,##0.0000000000000"/>
    <numFmt numFmtId="175" formatCode="&quot;£&quot;#,##0.00000000000000"/>
    <numFmt numFmtId="176" formatCode="0.000000000000000"/>
  </numFmts>
  <fonts count="54" x14ac:knownFonts="1">
    <font>
      <sz val="10"/>
      <name val="Arial"/>
    </font>
    <font>
      <sz val="8"/>
      <name val="Arial"/>
      <family val="2"/>
    </font>
    <font>
      <sz val="10"/>
      <name val="Arial"/>
      <family val="2"/>
    </font>
    <font>
      <sz val="8"/>
      <name val="Arial"/>
      <family val="2"/>
    </font>
    <font>
      <i/>
      <sz val="10"/>
      <name val="Arial"/>
      <family val="2"/>
    </font>
    <font>
      <u/>
      <sz val="10"/>
      <color indexed="12"/>
      <name val="Arial"/>
      <family val="2"/>
    </font>
    <font>
      <sz val="8"/>
      <color indexed="81"/>
      <name val="Tahoma"/>
      <family val="2"/>
    </font>
    <font>
      <sz val="12"/>
      <name val="Arial"/>
      <family val="2"/>
    </font>
    <font>
      <sz val="10"/>
      <name val="MS Sans Serif"/>
      <family val="2"/>
    </font>
    <font>
      <b/>
      <sz val="10"/>
      <name val="MS Sans Serif"/>
      <family val="2"/>
    </font>
    <font>
      <sz val="9"/>
      <color indexed="81"/>
      <name val="Tahoma"/>
      <family val="2"/>
    </font>
    <font>
      <b/>
      <sz val="12"/>
      <color theme="0"/>
      <name val="Calibri"/>
      <family val="2"/>
      <scheme val="minor"/>
    </font>
    <font>
      <sz val="12"/>
      <color theme="0"/>
      <name val="Calibri"/>
      <family val="2"/>
      <scheme val="minor"/>
    </font>
    <font>
      <b/>
      <sz val="9"/>
      <color theme="0"/>
      <name val="Calibri"/>
      <family val="2"/>
      <scheme val="minor"/>
    </font>
    <font>
      <b/>
      <sz val="16"/>
      <color theme="0"/>
      <name val="Calibri"/>
      <family val="2"/>
      <scheme val="minor"/>
    </font>
    <font>
      <sz val="10"/>
      <name val="Calibri"/>
      <family val="2"/>
      <scheme val="minor"/>
    </font>
    <font>
      <sz val="8"/>
      <name val="Calibri"/>
      <family val="2"/>
      <scheme val="minor"/>
    </font>
    <font>
      <i/>
      <sz val="10"/>
      <name val="Calibri"/>
      <family val="2"/>
      <scheme val="minor"/>
    </font>
    <font>
      <u/>
      <sz val="10"/>
      <name val="Calibri"/>
      <family val="2"/>
      <scheme val="minor"/>
    </font>
    <font>
      <b/>
      <sz val="12"/>
      <color rgb="FF4F81BD"/>
      <name val="Calibri"/>
      <family val="2"/>
      <scheme val="minor"/>
    </font>
    <font>
      <b/>
      <sz val="12"/>
      <name val="Calibri"/>
      <family val="2"/>
      <scheme val="minor"/>
    </font>
    <font>
      <sz val="9"/>
      <name val="Calibri"/>
      <family val="2"/>
      <scheme val="minor"/>
    </font>
    <font>
      <b/>
      <sz val="10"/>
      <color theme="0"/>
      <name val="Calibri"/>
      <family val="2"/>
      <scheme val="minor"/>
    </font>
    <font>
      <sz val="10"/>
      <color theme="0"/>
      <name val="Calibri"/>
      <family val="2"/>
      <scheme val="minor"/>
    </font>
    <font>
      <sz val="12"/>
      <name val="Calibri"/>
      <family val="2"/>
      <scheme val="minor"/>
    </font>
    <font>
      <u/>
      <sz val="12"/>
      <color indexed="12"/>
      <name val="Calibri"/>
      <family val="2"/>
      <scheme val="minor"/>
    </font>
    <font>
      <i/>
      <sz val="12"/>
      <name val="Calibri"/>
      <family val="2"/>
      <scheme val="minor"/>
    </font>
    <font>
      <u/>
      <sz val="12"/>
      <name val="Calibri"/>
      <family val="2"/>
      <scheme val="minor"/>
    </font>
    <font>
      <sz val="12"/>
      <color indexed="8"/>
      <name val="Calibri"/>
      <family val="2"/>
      <scheme val="minor"/>
    </font>
    <font>
      <b/>
      <sz val="12"/>
      <color indexed="8"/>
      <name val="Calibri"/>
      <family val="2"/>
      <scheme val="minor"/>
    </font>
    <font>
      <i/>
      <sz val="12"/>
      <color rgb="FFFF0000"/>
      <name val="Calibri"/>
      <family val="2"/>
      <scheme val="minor"/>
    </font>
    <font>
      <b/>
      <u/>
      <sz val="12"/>
      <name val="Calibri"/>
      <family val="2"/>
      <scheme val="minor"/>
    </font>
    <font>
      <sz val="12"/>
      <color indexed="10"/>
      <name val="Calibri"/>
      <family val="2"/>
      <scheme val="minor"/>
    </font>
    <font>
      <i/>
      <sz val="12"/>
      <color indexed="8"/>
      <name val="Calibri"/>
      <family val="2"/>
      <scheme val="minor"/>
    </font>
    <font>
      <b/>
      <i/>
      <sz val="12"/>
      <color indexed="8"/>
      <name val="Calibri"/>
      <family val="2"/>
      <scheme val="minor"/>
    </font>
    <font>
      <sz val="12"/>
      <color theme="1"/>
      <name val="Calibri"/>
      <family val="2"/>
      <scheme val="minor"/>
    </font>
    <font>
      <i/>
      <sz val="12"/>
      <color rgb="FF4F81BD"/>
      <name val="Calibri"/>
      <family val="2"/>
      <scheme val="minor"/>
    </font>
    <font>
      <b/>
      <sz val="16"/>
      <color rgb="FF4F81BD"/>
      <name val="Calibri"/>
      <family val="2"/>
      <scheme val="minor"/>
    </font>
    <font>
      <b/>
      <sz val="16"/>
      <name val="Calibri"/>
      <family val="2"/>
      <scheme val="minor"/>
    </font>
    <font>
      <i/>
      <sz val="12"/>
      <color indexed="10"/>
      <name val="Calibri"/>
      <family val="2"/>
      <scheme val="minor"/>
    </font>
    <font>
      <sz val="12"/>
      <color rgb="FFFF0000"/>
      <name val="Calibri"/>
      <family val="2"/>
      <scheme val="minor"/>
    </font>
    <font>
      <b/>
      <u/>
      <sz val="12"/>
      <color theme="0"/>
      <name val="Calibri"/>
      <family val="2"/>
      <scheme val="minor"/>
    </font>
    <font>
      <u/>
      <sz val="12"/>
      <color theme="0"/>
      <name val="Calibri"/>
      <family val="2"/>
      <scheme val="minor"/>
    </font>
    <font>
      <sz val="12"/>
      <color rgb="FF4F81BD"/>
      <name val="Calibri"/>
      <family val="2"/>
      <scheme val="minor"/>
    </font>
    <font>
      <sz val="16"/>
      <color theme="0"/>
      <name val="Calibri"/>
      <family val="2"/>
      <scheme val="minor"/>
    </font>
    <font>
      <i/>
      <sz val="12"/>
      <name val="Arial"/>
      <family val="2"/>
    </font>
    <font>
      <sz val="12"/>
      <color rgb="FFFFFF99"/>
      <name val="Calibri"/>
      <family val="2"/>
      <scheme val="minor"/>
    </font>
    <font>
      <i/>
      <u/>
      <sz val="12"/>
      <name val="Calibri"/>
      <family val="2"/>
      <scheme val="minor"/>
    </font>
    <font>
      <b/>
      <sz val="14"/>
      <color theme="0"/>
      <name val="Calibri"/>
      <family val="2"/>
      <scheme val="minor"/>
    </font>
    <font>
      <b/>
      <sz val="18"/>
      <name val="Calibri"/>
      <family val="2"/>
      <scheme val="minor"/>
    </font>
    <font>
      <sz val="12"/>
      <color theme="4"/>
      <name val="Calibri"/>
      <family val="2"/>
      <scheme val="minor"/>
    </font>
    <font>
      <b/>
      <sz val="12"/>
      <name val="Arial"/>
      <family val="2"/>
    </font>
    <font>
      <sz val="12"/>
      <color rgb="FFFF0000"/>
      <name val="Arial"/>
      <family val="2"/>
    </font>
    <font>
      <b/>
      <sz val="10"/>
      <name val="Arial"/>
      <family val="2"/>
    </font>
  </fonts>
  <fills count="8">
    <fill>
      <patternFill patternType="none"/>
    </fill>
    <fill>
      <patternFill patternType="gray125"/>
    </fill>
    <fill>
      <patternFill patternType="mediumGray">
        <fgColor indexed="22"/>
      </patternFill>
    </fill>
    <fill>
      <patternFill patternType="solid">
        <fgColor indexed="43"/>
        <bgColor indexed="64"/>
      </patternFill>
    </fill>
    <fill>
      <patternFill patternType="solid">
        <fgColor indexed="9"/>
        <bgColor indexed="64"/>
      </patternFill>
    </fill>
    <fill>
      <patternFill patternType="solid">
        <fgColor rgb="FFFFFF99"/>
        <bgColor indexed="64"/>
      </patternFill>
    </fill>
    <fill>
      <patternFill patternType="solid">
        <fgColor rgb="FF4F81BD"/>
        <bgColor indexed="64"/>
      </patternFill>
    </fill>
    <fill>
      <patternFill patternType="solid">
        <fgColor theme="0"/>
        <bgColor indexed="64"/>
      </patternFill>
    </fill>
  </fills>
  <borders count="107">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ck">
        <color indexed="64"/>
      </left>
      <right/>
      <top/>
      <bottom/>
      <diagonal/>
    </border>
    <border>
      <left/>
      <right style="thick">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ck">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medium">
        <color rgb="FF4F81BD"/>
      </left>
      <right/>
      <top style="medium">
        <color rgb="FF4F81BD"/>
      </top>
      <bottom/>
      <diagonal/>
    </border>
    <border>
      <left/>
      <right/>
      <top style="medium">
        <color rgb="FF4F81BD"/>
      </top>
      <bottom/>
      <diagonal/>
    </border>
    <border>
      <left/>
      <right style="medium">
        <color rgb="FF4F81BD"/>
      </right>
      <top style="medium">
        <color rgb="FF4F81BD"/>
      </top>
      <bottom/>
      <diagonal/>
    </border>
    <border>
      <left style="medium">
        <color rgb="FF4F81BD"/>
      </left>
      <right/>
      <top/>
      <bottom/>
      <diagonal/>
    </border>
    <border>
      <left/>
      <right style="medium">
        <color rgb="FF4F81BD"/>
      </right>
      <top/>
      <bottom/>
      <diagonal/>
    </border>
    <border>
      <left style="medium">
        <color rgb="FF4F81BD"/>
      </left>
      <right style="thin">
        <color indexed="64"/>
      </right>
      <top/>
      <bottom style="thin">
        <color indexed="64"/>
      </bottom>
      <diagonal/>
    </border>
    <border>
      <left style="medium">
        <color rgb="FF4F81BD"/>
      </left>
      <right style="thin">
        <color indexed="64"/>
      </right>
      <top style="thin">
        <color indexed="64"/>
      </top>
      <bottom style="thin">
        <color indexed="64"/>
      </bottom>
      <diagonal/>
    </border>
    <border>
      <left style="thin">
        <color indexed="64"/>
      </left>
      <right style="medium">
        <color rgb="FF4F81BD"/>
      </right>
      <top style="thin">
        <color indexed="64"/>
      </top>
      <bottom style="thin">
        <color indexed="64"/>
      </bottom>
      <diagonal/>
    </border>
    <border>
      <left style="medium">
        <color rgb="FF4F81BD"/>
      </left>
      <right style="thin">
        <color indexed="64"/>
      </right>
      <top style="thin">
        <color indexed="64"/>
      </top>
      <bottom style="medium">
        <color rgb="FF4F81BD"/>
      </bottom>
      <diagonal/>
    </border>
    <border>
      <left style="thin">
        <color indexed="64"/>
      </left>
      <right style="thin">
        <color indexed="64"/>
      </right>
      <top style="thin">
        <color indexed="64"/>
      </top>
      <bottom style="medium">
        <color rgb="FF4F81BD"/>
      </bottom>
      <diagonal/>
    </border>
    <border>
      <left style="thin">
        <color indexed="64"/>
      </left>
      <right style="medium">
        <color rgb="FF4F81BD"/>
      </right>
      <top style="thin">
        <color indexed="64"/>
      </top>
      <bottom style="medium">
        <color rgb="FF4F81BD"/>
      </bottom>
      <diagonal/>
    </border>
    <border>
      <left style="medium">
        <color rgb="FF4F81BD"/>
      </left>
      <right/>
      <top/>
      <bottom style="medium">
        <color rgb="FF4F81BD"/>
      </bottom>
      <diagonal/>
    </border>
    <border>
      <left/>
      <right/>
      <top/>
      <bottom style="medium">
        <color rgb="FF4F81BD"/>
      </bottom>
      <diagonal/>
    </border>
    <border>
      <left/>
      <right style="medium">
        <color rgb="FF4F81BD"/>
      </right>
      <top/>
      <bottom style="medium">
        <color rgb="FF4F81BD"/>
      </bottom>
      <diagonal/>
    </border>
    <border>
      <left style="medium">
        <color rgb="FF4F81BD"/>
      </left>
      <right/>
      <top style="medium">
        <color rgb="FF4F81BD"/>
      </top>
      <bottom style="thin">
        <color indexed="64"/>
      </bottom>
      <diagonal/>
    </border>
    <border>
      <left/>
      <right/>
      <top style="medium">
        <color rgb="FF4F81BD"/>
      </top>
      <bottom style="thin">
        <color indexed="64"/>
      </bottom>
      <diagonal/>
    </border>
    <border>
      <left/>
      <right style="medium">
        <color rgb="FF4F81BD"/>
      </right>
      <top style="medium">
        <color rgb="FF4F81BD"/>
      </top>
      <bottom style="thin">
        <color indexed="64"/>
      </bottom>
      <diagonal/>
    </border>
    <border>
      <left style="medium">
        <color rgb="FF4F81BD"/>
      </left>
      <right style="thin">
        <color indexed="64"/>
      </right>
      <top style="medium">
        <color rgb="FF4F81BD"/>
      </top>
      <bottom style="thin">
        <color indexed="64"/>
      </bottom>
      <diagonal/>
    </border>
    <border>
      <left style="thin">
        <color indexed="64"/>
      </left>
      <right style="thin">
        <color indexed="64"/>
      </right>
      <top style="medium">
        <color rgb="FF4F81BD"/>
      </top>
      <bottom style="thin">
        <color indexed="64"/>
      </bottom>
      <diagonal/>
    </border>
    <border>
      <left style="thin">
        <color indexed="64"/>
      </left>
      <right style="medium">
        <color rgb="FF4F81BD"/>
      </right>
      <top style="medium">
        <color rgb="FF4F81BD"/>
      </top>
      <bottom style="thin">
        <color indexed="64"/>
      </bottom>
      <diagonal/>
    </border>
    <border>
      <left style="medium">
        <color rgb="FF4F81BD"/>
      </left>
      <right style="dotted">
        <color indexed="64"/>
      </right>
      <top style="dotted">
        <color indexed="64"/>
      </top>
      <bottom style="dotted">
        <color indexed="64"/>
      </bottom>
      <diagonal/>
    </border>
    <border>
      <left style="dotted">
        <color indexed="64"/>
      </left>
      <right style="medium">
        <color rgb="FF4F81BD"/>
      </right>
      <top style="dotted">
        <color indexed="64"/>
      </top>
      <bottom style="dotted">
        <color indexed="64"/>
      </bottom>
      <diagonal/>
    </border>
    <border>
      <left/>
      <right style="thin">
        <color indexed="64"/>
      </right>
      <top style="thin">
        <color indexed="64"/>
      </top>
      <bottom style="medium">
        <color rgb="FF4F81BD"/>
      </bottom>
      <diagonal/>
    </border>
    <border>
      <left/>
      <right style="thin">
        <color indexed="64"/>
      </right>
      <top style="medium">
        <color rgb="FF4F81BD"/>
      </top>
      <bottom style="thin">
        <color indexed="64"/>
      </bottom>
      <diagonal/>
    </border>
    <border>
      <left style="medium">
        <color rgb="FF4F81BD"/>
      </left>
      <right style="thin">
        <color indexed="64"/>
      </right>
      <top style="thin">
        <color indexed="64"/>
      </top>
      <bottom/>
      <diagonal/>
    </border>
    <border>
      <left style="thin">
        <color indexed="64"/>
      </left>
      <right style="medium">
        <color rgb="FF4F81BD"/>
      </right>
      <top style="thin">
        <color indexed="64"/>
      </top>
      <bottom/>
      <diagonal/>
    </border>
    <border>
      <left style="medium">
        <color rgb="FF4F81BD"/>
      </left>
      <right style="thin">
        <color indexed="64"/>
      </right>
      <top/>
      <bottom style="medium">
        <color rgb="FF4F81BD"/>
      </bottom>
      <diagonal/>
    </border>
    <border>
      <left/>
      <right style="thin">
        <color indexed="64"/>
      </right>
      <top/>
      <bottom style="medium">
        <color rgb="FF4F81BD"/>
      </bottom>
      <diagonal/>
    </border>
    <border>
      <left style="thin">
        <color indexed="64"/>
      </left>
      <right style="thin">
        <color indexed="64"/>
      </right>
      <top/>
      <bottom style="medium">
        <color rgb="FF4F81BD"/>
      </bottom>
      <diagonal/>
    </border>
    <border>
      <left style="thin">
        <color indexed="64"/>
      </left>
      <right style="medium">
        <color rgb="FF4F81BD"/>
      </right>
      <top/>
      <bottom style="medium">
        <color rgb="FF4F81BD"/>
      </bottom>
      <diagonal/>
    </border>
    <border>
      <left style="thin">
        <color indexed="64"/>
      </left>
      <right style="thin">
        <color indexed="64"/>
      </right>
      <top style="medium">
        <color rgb="FF4F81BD"/>
      </top>
      <bottom style="medium">
        <color rgb="FF4F81BD"/>
      </bottom>
      <diagonal/>
    </border>
    <border>
      <left style="medium">
        <color indexed="64"/>
      </left>
      <right style="thin">
        <color indexed="64"/>
      </right>
      <top style="thin">
        <color indexed="64"/>
      </top>
      <bottom/>
      <diagonal/>
    </border>
    <border>
      <left style="medium">
        <color rgb="FF4F81BD"/>
      </left>
      <right style="thin">
        <color indexed="64"/>
      </right>
      <top style="medium">
        <color rgb="FF4F81BD"/>
      </top>
      <bottom style="thin">
        <color rgb="FF4F81BD"/>
      </bottom>
      <diagonal/>
    </border>
    <border>
      <left style="thin">
        <color indexed="64"/>
      </left>
      <right style="medium">
        <color rgb="FF4F81BD"/>
      </right>
      <top style="medium">
        <color rgb="FF4F81BD"/>
      </top>
      <bottom style="thin">
        <color rgb="FF4F81BD"/>
      </bottom>
      <diagonal/>
    </border>
    <border>
      <left style="thin">
        <color indexed="64"/>
      </left>
      <right style="thin">
        <color indexed="64"/>
      </right>
      <top style="medium">
        <color rgb="FF4F81BD"/>
      </top>
      <bottom style="thin">
        <color rgb="FF4F81BD"/>
      </bottom>
      <diagonal/>
    </border>
    <border>
      <left/>
      <right/>
      <top style="thin">
        <color rgb="FF4F81BD"/>
      </top>
      <bottom/>
      <diagonal/>
    </border>
    <border>
      <left style="thin">
        <color indexed="64"/>
      </left>
      <right style="medium">
        <color rgb="FF4F81BD"/>
      </right>
      <top style="medium">
        <color rgb="FF4F81BD"/>
      </top>
      <bottom style="medium">
        <color rgb="FF4F81BD"/>
      </bottom>
      <diagonal/>
    </border>
    <border>
      <left style="medium">
        <color rgb="FF4F81BD"/>
      </left>
      <right/>
      <top style="thin">
        <color rgb="FF4F81BD"/>
      </top>
      <bottom style="medium">
        <color rgb="FF4F81BD"/>
      </bottom>
      <diagonal/>
    </border>
    <border>
      <left style="medium">
        <color rgb="FF4F81BD"/>
      </left>
      <right style="medium">
        <color rgb="FF4F81BD"/>
      </right>
      <top style="medium">
        <color rgb="FF4F81BD"/>
      </top>
      <bottom style="medium">
        <color rgb="FF4F81BD"/>
      </bottom>
      <diagonal/>
    </border>
    <border>
      <left style="medium">
        <color rgb="FF4F81BD"/>
      </left>
      <right/>
      <top style="medium">
        <color rgb="FF4F81BD"/>
      </top>
      <bottom style="medium">
        <color rgb="FF4F81BD"/>
      </bottom>
      <diagonal/>
    </border>
    <border>
      <left/>
      <right/>
      <top style="medium">
        <color rgb="FF4F81BD"/>
      </top>
      <bottom style="medium">
        <color rgb="FF4F81BD"/>
      </bottom>
      <diagonal/>
    </border>
    <border>
      <left/>
      <right style="medium">
        <color rgb="FF4F81BD"/>
      </right>
      <top style="medium">
        <color rgb="FF4F81BD"/>
      </top>
      <bottom style="medium">
        <color rgb="FF4F81BD"/>
      </bottom>
      <diagonal/>
    </border>
    <border>
      <left style="medium">
        <color indexed="64"/>
      </left>
      <right style="medium">
        <color rgb="FF4F81BD"/>
      </right>
      <top style="medium">
        <color rgb="FF4F81BD"/>
      </top>
      <bottom style="medium">
        <color rgb="FF4F81BD"/>
      </bottom>
      <diagonal/>
    </border>
    <border>
      <left style="medium">
        <color rgb="FF4F81BD"/>
      </left>
      <right style="medium">
        <color indexed="64"/>
      </right>
      <top style="medium">
        <color rgb="FF4F81BD"/>
      </top>
      <bottom style="medium">
        <color rgb="FF4F81BD"/>
      </bottom>
      <diagonal/>
    </border>
    <border>
      <left/>
      <right/>
      <top style="medium">
        <color rgb="FF4F81BD"/>
      </top>
      <bottom style="medium">
        <color indexed="64"/>
      </bottom>
      <diagonal/>
    </border>
  </borders>
  <cellStyleXfs count="8">
    <xf numFmtId="0" fontId="0" fillId="0" borderId="0"/>
    <xf numFmtId="0" fontId="5" fillId="0" borderId="0" applyNumberFormat="0" applyFill="0" applyBorder="0" applyAlignment="0" applyProtection="0">
      <alignment vertical="top"/>
      <protection locked="0"/>
    </xf>
    <xf numFmtId="0" fontId="8" fillId="0" borderId="0" applyNumberFormat="0" applyFont="0" applyFill="0" applyBorder="0" applyAlignment="0" applyProtection="0">
      <alignment horizontal="left"/>
    </xf>
    <xf numFmtId="15" fontId="8" fillId="0" borderId="0" applyFont="0" applyFill="0" applyBorder="0" applyAlignment="0" applyProtection="0"/>
    <xf numFmtId="4" fontId="8" fillId="0" borderId="0" applyFont="0" applyFill="0" applyBorder="0" applyAlignment="0" applyProtection="0"/>
    <xf numFmtId="0" fontId="9" fillId="0" borderId="1">
      <alignment horizontal="center"/>
    </xf>
    <xf numFmtId="3" fontId="8" fillId="0" borderId="0" applyFont="0" applyFill="0" applyBorder="0" applyAlignment="0" applyProtection="0"/>
    <xf numFmtId="0" fontId="8" fillId="2" borderId="0" applyNumberFormat="0" applyFont="0" applyBorder="0" applyAlignment="0" applyProtection="0"/>
  </cellStyleXfs>
  <cellXfs count="711">
    <xf numFmtId="0" fontId="0" fillId="0" borderId="0" xfId="0"/>
    <xf numFmtId="164" fontId="0" fillId="0" borderId="0" xfId="0" applyNumberFormat="1"/>
    <xf numFmtId="0" fontId="0" fillId="0" borderId="0" xfId="0" applyAlignment="1">
      <alignment horizontal="center"/>
    </xf>
    <xf numFmtId="0" fontId="3" fillId="0" borderId="0" xfId="0" applyFont="1" applyAlignment="1">
      <alignment vertical="center" wrapText="1"/>
    </xf>
    <xf numFmtId="0" fontId="0" fillId="0" borderId="0" xfId="0" applyAlignment="1">
      <alignment vertical="center" wrapText="1"/>
    </xf>
    <xf numFmtId="3" fontId="0" fillId="0" borderId="0" xfId="0" applyNumberFormat="1"/>
    <xf numFmtId="0" fontId="0" fillId="0" borderId="0" xfId="0" applyBorder="1" applyAlignment="1">
      <alignment horizontal="center"/>
    </xf>
    <xf numFmtId="0" fontId="2" fillId="0" borderId="0" xfId="0" applyFont="1"/>
    <xf numFmtId="0" fontId="4" fillId="0" borderId="0" xfId="0" applyFont="1"/>
    <xf numFmtId="0" fontId="0" fillId="0" borderId="0" xfId="0" applyAlignment="1">
      <alignment horizontal="left"/>
    </xf>
    <xf numFmtId="0" fontId="0" fillId="0" borderId="0" xfId="0" applyAlignment="1">
      <alignment horizontal="right"/>
    </xf>
    <xf numFmtId="0" fontId="1" fillId="0" borderId="0" xfId="0" applyFont="1" applyAlignment="1">
      <alignment horizontal="center"/>
    </xf>
    <xf numFmtId="168" fontId="0" fillId="0" borderId="0" xfId="0" applyNumberFormat="1" applyFill="1" applyBorder="1" applyAlignment="1">
      <alignment horizontal="left"/>
    </xf>
    <xf numFmtId="0" fontId="0" fillId="0" borderId="0" xfId="0" applyFill="1" applyBorder="1"/>
    <xf numFmtId="14" fontId="0" fillId="0" borderId="0" xfId="0" applyNumberFormat="1"/>
    <xf numFmtId="0" fontId="0" fillId="0" borderId="0" xfId="0" applyFill="1"/>
    <xf numFmtId="0" fontId="15" fillId="0" borderId="0" xfId="0" applyFont="1"/>
    <xf numFmtId="0" fontId="15" fillId="0" borderId="64" xfId="0" applyFont="1" applyBorder="1"/>
    <xf numFmtId="0" fontId="15" fillId="0" borderId="75" xfId="0" applyFont="1" applyBorder="1"/>
    <xf numFmtId="0" fontId="16" fillId="0" borderId="0" xfId="0" applyFont="1" applyAlignment="1">
      <alignment vertical="center" wrapText="1"/>
    </xf>
    <xf numFmtId="0" fontId="19" fillId="0" borderId="0" xfId="0" applyFont="1"/>
    <xf numFmtId="0" fontId="20" fillId="0" borderId="0" xfId="0" applyFont="1"/>
    <xf numFmtId="0" fontId="15" fillId="0" borderId="62" xfId="0" applyFont="1" applyBorder="1"/>
    <xf numFmtId="0" fontId="15" fillId="0" borderId="65" xfId="0" applyFont="1" applyBorder="1"/>
    <xf numFmtId="0" fontId="15" fillId="0" borderId="73" xfId="0" applyFont="1" applyBorder="1"/>
    <xf numFmtId="0" fontId="24" fillId="0" borderId="0" xfId="0" applyFont="1"/>
    <xf numFmtId="0" fontId="24" fillId="0" borderId="68" xfId="0" applyFont="1" applyBorder="1" applyAlignment="1">
      <alignment vertical="center" wrapText="1"/>
    </xf>
    <xf numFmtId="0" fontId="24" fillId="0" borderId="10" xfId="0" applyFont="1" applyBorder="1" applyAlignment="1">
      <alignment vertical="center" wrapText="1"/>
    </xf>
    <xf numFmtId="0" fontId="25" fillId="0" borderId="69" xfId="1" applyFont="1" applyBorder="1" applyAlignment="1" applyProtection="1">
      <alignment vertical="center" wrapText="1"/>
    </xf>
    <xf numFmtId="0" fontId="24" fillId="0" borderId="69" xfId="0" applyFont="1" applyBorder="1" applyAlignment="1">
      <alignment vertical="center" wrapText="1"/>
    </xf>
    <xf numFmtId="0" fontId="24" fillId="0" borderId="70" xfId="0" applyFont="1" applyBorder="1" applyAlignment="1">
      <alignment vertical="center" wrapText="1"/>
    </xf>
    <xf numFmtId="0" fontId="20" fillId="0" borderId="71" xfId="0" applyFont="1" applyBorder="1" applyAlignment="1">
      <alignment vertical="center" wrapText="1"/>
    </xf>
    <xf numFmtId="0" fontId="24" fillId="0" borderId="72" xfId="0" applyFont="1" applyBorder="1" applyAlignment="1">
      <alignment vertical="center" wrapText="1"/>
    </xf>
    <xf numFmtId="0" fontId="20" fillId="0" borderId="65" xfId="0" applyFont="1" applyBorder="1"/>
    <xf numFmtId="0" fontId="27" fillId="0" borderId="66" xfId="0" applyFont="1" applyBorder="1"/>
    <xf numFmtId="0" fontId="24" fillId="0" borderId="65" xfId="0" applyFont="1" applyBorder="1"/>
    <xf numFmtId="164" fontId="24" fillId="0" borderId="0" xfId="0" applyNumberFormat="1" applyFont="1" applyFill="1" applyBorder="1" applyAlignment="1">
      <alignment horizontal="center" vertical="top"/>
    </xf>
    <xf numFmtId="0" fontId="24" fillId="0" borderId="66" xfId="0" applyFont="1" applyBorder="1" applyAlignment="1">
      <alignment vertical="top"/>
    </xf>
    <xf numFmtId="0" fontId="24" fillId="0" borderId="66" xfId="0" applyFont="1" applyFill="1" applyBorder="1" applyAlignment="1">
      <alignment horizontal="left" vertical="center" wrapText="1"/>
    </xf>
    <xf numFmtId="0" fontId="28" fillId="0" borderId="74" xfId="0" applyFont="1" applyBorder="1"/>
    <xf numFmtId="0" fontId="24" fillId="0" borderId="75" xfId="0" applyFont="1" applyBorder="1"/>
    <xf numFmtId="0" fontId="24" fillId="0" borderId="67" xfId="0" applyFont="1" applyBorder="1" applyAlignment="1">
      <alignment vertical="center" wrapText="1"/>
    </xf>
    <xf numFmtId="0" fontId="24" fillId="0" borderId="71" xfId="0" applyFont="1" applyBorder="1" applyAlignment="1">
      <alignment vertical="center" wrapText="1"/>
    </xf>
    <xf numFmtId="0" fontId="24" fillId="0" borderId="0" xfId="0" applyFont="1" applyAlignment="1">
      <alignment vertical="center" wrapText="1"/>
    </xf>
    <xf numFmtId="0" fontId="24" fillId="0" borderId="0" xfId="0" applyFont="1" applyFill="1"/>
    <xf numFmtId="0" fontId="20" fillId="0" borderId="22" xfId="0" applyFont="1" applyFill="1" applyBorder="1"/>
    <xf numFmtId="0" fontId="24" fillId="0" borderId="22" xfId="0" applyFont="1" applyFill="1" applyBorder="1"/>
    <xf numFmtId="173" fontId="24" fillId="0" borderId="0" xfId="0" applyNumberFormat="1" applyFont="1" applyFill="1" applyBorder="1" applyAlignment="1">
      <alignment horizontal="center" vertical="top"/>
    </xf>
    <xf numFmtId="164" fontId="32" fillId="0" borderId="0" xfId="0" applyNumberFormat="1" applyFont="1" applyFill="1" applyBorder="1" applyAlignment="1">
      <alignment horizontal="left" vertical="top" wrapText="1"/>
    </xf>
    <xf numFmtId="173" fontId="24" fillId="0" borderId="0" xfId="0" applyNumberFormat="1" applyFont="1" applyFill="1" applyBorder="1" applyAlignment="1">
      <alignment horizontal="center"/>
    </xf>
    <xf numFmtId="164" fontId="24" fillId="0" borderId="0" xfId="0" applyNumberFormat="1" applyFont="1" applyFill="1" applyBorder="1" applyAlignment="1">
      <alignment horizontal="center"/>
    </xf>
    <xf numFmtId="0" fontId="24" fillId="0" borderId="23" xfId="0" applyFont="1" applyFill="1" applyBorder="1"/>
    <xf numFmtId="173" fontId="26" fillId="0" borderId="0" xfId="0" applyNumberFormat="1" applyFont="1" applyFill="1" applyBorder="1" applyAlignment="1">
      <alignment horizontal="center"/>
    </xf>
    <xf numFmtId="0" fontId="24" fillId="0" borderId="27" xfId="0" applyFont="1" applyFill="1" applyBorder="1"/>
    <xf numFmtId="0" fontId="20" fillId="0" borderId="65" xfId="0" applyFont="1" applyFill="1" applyBorder="1"/>
    <xf numFmtId="0" fontId="24" fillId="0" borderId="65" xfId="0" applyFont="1" applyFill="1" applyBorder="1"/>
    <xf numFmtId="0" fontId="24" fillId="0" borderId="66" xfId="0" applyFont="1" applyFill="1" applyBorder="1" applyAlignment="1">
      <alignment vertical="top"/>
    </xf>
    <xf numFmtId="0" fontId="24" fillId="0" borderId="66" xfId="0" applyFont="1" applyFill="1" applyBorder="1"/>
    <xf numFmtId="0" fontId="24" fillId="0" borderId="75" xfId="0" applyFont="1" applyFill="1" applyBorder="1"/>
    <xf numFmtId="0" fontId="15" fillId="0" borderId="0" xfId="0" applyFont="1" applyAlignment="1">
      <alignment horizontal="center"/>
    </xf>
    <xf numFmtId="0" fontId="15" fillId="0" borderId="0" xfId="0" applyFont="1" applyAlignment="1">
      <alignment horizontal="left"/>
    </xf>
    <xf numFmtId="0" fontId="15" fillId="0" borderId="0" xfId="0" applyFont="1" applyAlignment="1">
      <alignment horizontal="right"/>
    </xf>
    <xf numFmtId="0" fontId="15" fillId="0" borderId="22" xfId="0" applyFont="1" applyBorder="1" applyAlignment="1">
      <alignment horizontal="center"/>
    </xf>
    <xf numFmtId="0" fontId="15" fillId="0" borderId="0" xfId="0" applyFont="1" applyBorder="1" applyAlignment="1">
      <alignment horizontal="center"/>
    </xf>
    <xf numFmtId="171" fontId="15" fillId="0" borderId="0" xfId="0" applyNumberFormat="1" applyFont="1" applyBorder="1" applyAlignment="1">
      <alignment horizontal="right"/>
    </xf>
    <xf numFmtId="0" fontId="15" fillId="0" borderId="0" xfId="0" applyFont="1" applyBorder="1"/>
    <xf numFmtId="0" fontId="15" fillId="0" borderId="23" xfId="0" applyFont="1" applyBorder="1"/>
    <xf numFmtId="167" fontId="15" fillId="0" borderId="14" xfId="0" applyNumberFormat="1" applyFont="1" applyBorder="1"/>
    <xf numFmtId="167" fontId="15" fillId="0" borderId="15" xfId="0" applyNumberFormat="1" applyFont="1" applyBorder="1"/>
    <xf numFmtId="167" fontId="15" fillId="0" borderId="0" xfId="0" applyNumberFormat="1" applyFont="1" applyBorder="1"/>
    <xf numFmtId="167" fontId="15" fillId="0" borderId="23" xfId="0" applyNumberFormat="1" applyFont="1" applyBorder="1"/>
    <xf numFmtId="0" fontId="15" fillId="0" borderId="22" xfId="0" applyFont="1" applyBorder="1" applyAlignment="1">
      <alignment horizontal="center" vertical="center"/>
    </xf>
    <xf numFmtId="0" fontId="15" fillId="0" borderId="0" xfId="0" applyFont="1" applyBorder="1" applyAlignment="1">
      <alignment horizontal="center" vertical="center"/>
    </xf>
    <xf numFmtId="171" fontId="15" fillId="0" borderId="0" xfId="0" applyNumberFormat="1" applyFont="1" applyBorder="1" applyAlignment="1">
      <alignment horizontal="right" vertical="center"/>
    </xf>
    <xf numFmtId="167" fontId="15" fillId="0" borderId="22" xfId="0" applyNumberFormat="1" applyFont="1" applyBorder="1" applyAlignment="1">
      <alignment horizontal="center"/>
    </xf>
    <xf numFmtId="167" fontId="15" fillId="0" borderId="0" xfId="0" applyNumberFormat="1" applyFont="1" applyBorder="1" applyAlignment="1">
      <alignment horizontal="center"/>
    </xf>
    <xf numFmtId="167" fontId="15" fillId="0" borderId="23" xfId="0" applyNumberFormat="1" applyFont="1" applyBorder="1" applyAlignment="1">
      <alignment horizontal="center"/>
    </xf>
    <xf numFmtId="167" fontId="15" fillId="0" borderId="1" xfId="0" applyNumberFormat="1" applyFont="1" applyBorder="1" applyAlignment="1">
      <alignment horizontal="center"/>
    </xf>
    <xf numFmtId="0" fontId="15" fillId="0" borderId="0" xfId="0" applyFont="1" applyBorder="1" applyAlignment="1">
      <alignment horizontal="right"/>
    </xf>
    <xf numFmtId="0" fontId="16" fillId="0" borderId="0" xfId="0" applyFont="1" applyBorder="1" applyAlignment="1">
      <alignment horizontal="center"/>
    </xf>
    <xf numFmtId="171" fontId="15" fillId="0" borderId="0" xfId="0" applyNumberFormat="1" applyFont="1" applyFill="1" applyBorder="1" applyAlignment="1">
      <alignment horizontal="right"/>
    </xf>
    <xf numFmtId="0" fontId="15" fillId="0" borderId="27" xfId="0" applyFont="1" applyBorder="1" applyAlignment="1">
      <alignment horizontal="center"/>
    </xf>
    <xf numFmtId="0" fontId="15" fillId="0" borderId="1" xfId="0" applyFont="1" applyBorder="1" applyAlignment="1">
      <alignment horizontal="center"/>
    </xf>
    <xf numFmtId="0" fontId="16" fillId="0" borderId="1" xfId="0" applyFont="1" applyBorder="1" applyAlignment="1">
      <alignment horizontal="center"/>
    </xf>
    <xf numFmtId="171" fontId="15" fillId="0" borderId="1" xfId="0" applyNumberFormat="1" applyFont="1" applyFill="1" applyBorder="1" applyAlignment="1">
      <alignment horizontal="right"/>
    </xf>
    <xf numFmtId="0" fontId="15" fillId="0" borderId="26" xfId="0" applyFont="1" applyBorder="1"/>
    <xf numFmtId="0" fontId="16" fillId="0" borderId="0" xfId="0" applyFont="1" applyAlignment="1">
      <alignment horizontal="center"/>
    </xf>
    <xf numFmtId="168" fontId="15" fillId="0" borderId="0" xfId="0" applyNumberFormat="1" applyFont="1" applyFill="1" applyBorder="1" applyAlignment="1">
      <alignment horizontal="left"/>
    </xf>
    <xf numFmtId="0" fontId="37" fillId="0" borderId="0" xfId="0" applyFont="1" applyAlignment="1">
      <alignment horizontal="left"/>
    </xf>
    <xf numFmtId="0" fontId="11" fillId="6" borderId="44" xfId="0" applyFont="1" applyFill="1" applyBorder="1" applyAlignment="1">
      <alignment horizontal="left"/>
    </xf>
    <xf numFmtId="0" fontId="23" fillId="6" borderId="45" xfId="0" applyFont="1" applyFill="1" applyBorder="1" applyAlignment="1">
      <alignment horizontal="center"/>
    </xf>
    <xf numFmtId="0" fontId="23" fillId="6" borderId="45" xfId="0" applyFont="1" applyFill="1" applyBorder="1" applyAlignment="1">
      <alignment horizontal="left"/>
    </xf>
    <xf numFmtId="0" fontId="23" fillId="6" borderId="46" xfId="0" applyFont="1" applyFill="1" applyBorder="1"/>
    <xf numFmtId="0" fontId="22" fillId="6" borderId="47" xfId="0" applyFont="1" applyFill="1" applyBorder="1" applyAlignment="1">
      <alignment horizontal="center" vertical="center" wrapText="1"/>
    </xf>
    <xf numFmtId="0" fontId="15" fillId="6" borderId="41" xfId="0" applyFont="1" applyFill="1" applyBorder="1" applyAlignment="1">
      <alignment horizontal="center"/>
    </xf>
    <xf numFmtId="0" fontId="23" fillId="6" borderId="22" xfId="0" applyFont="1" applyFill="1" applyBorder="1" applyAlignment="1">
      <alignment horizontal="center"/>
    </xf>
    <xf numFmtId="167" fontId="23" fillId="6" borderId="0" xfId="0" applyNumberFormat="1" applyFont="1" applyFill="1" applyBorder="1" applyAlignment="1">
      <alignment horizontal="center"/>
    </xf>
    <xf numFmtId="167" fontId="23" fillId="6" borderId="23" xfId="0" applyNumberFormat="1" applyFont="1" applyFill="1" applyBorder="1" applyAlignment="1">
      <alignment horizontal="center"/>
    </xf>
    <xf numFmtId="167" fontId="21" fillId="0" borderId="0" xfId="0" applyNumberFormat="1" applyFont="1" applyBorder="1" applyAlignment="1">
      <alignment horizontal="center" wrapText="1"/>
    </xf>
    <xf numFmtId="0" fontId="15" fillId="0" borderId="23" xfId="0" applyFont="1" applyBorder="1" applyAlignment="1">
      <alignment horizontal="center"/>
    </xf>
    <xf numFmtId="0" fontId="18" fillId="0" borderId="0" xfId="0" applyFont="1" applyBorder="1" applyAlignment="1">
      <alignment horizontal="center"/>
    </xf>
    <xf numFmtId="0" fontId="37" fillId="0" borderId="0" xfId="0" applyFont="1"/>
    <xf numFmtId="0" fontId="15" fillId="0" borderId="63" xfId="0" applyFont="1" applyBorder="1"/>
    <xf numFmtId="0" fontId="15" fillId="0" borderId="66" xfId="0" applyFont="1" applyBorder="1"/>
    <xf numFmtId="0" fontId="18" fillId="0" borderId="66" xfId="0" applyFont="1" applyBorder="1" applyAlignment="1">
      <alignment horizontal="center"/>
    </xf>
    <xf numFmtId="0" fontId="15" fillId="0" borderId="82" xfId="0" applyFont="1" applyBorder="1"/>
    <xf numFmtId="164" fontId="15" fillId="0" borderId="83" xfId="0" applyNumberFormat="1" applyFont="1" applyFill="1" applyBorder="1"/>
    <xf numFmtId="0" fontId="15" fillId="0" borderId="74" xfId="0" applyFont="1" applyBorder="1"/>
    <xf numFmtId="0" fontId="24" fillId="0" borderId="0" xfId="0" applyFont="1" applyAlignment="1">
      <alignment horizontal="center"/>
    </xf>
    <xf numFmtId="3" fontId="24" fillId="0" borderId="0" xfId="0" applyNumberFormat="1" applyFont="1"/>
    <xf numFmtId="0" fontId="24" fillId="0" borderId="0" xfId="0" applyFont="1" applyFill="1" applyBorder="1"/>
    <xf numFmtId="0" fontId="24" fillId="0" borderId="14" xfId="0" applyFont="1" applyBorder="1"/>
    <xf numFmtId="0" fontId="24" fillId="0" borderId="0" xfId="0" applyFont="1" applyBorder="1"/>
    <xf numFmtId="0" fontId="24" fillId="0" borderId="32" xfId="0" applyFont="1" applyBorder="1"/>
    <xf numFmtId="0" fontId="24" fillId="0" borderId="22" xfId="0" applyFont="1" applyBorder="1" applyAlignment="1">
      <alignment wrapText="1"/>
    </xf>
    <xf numFmtId="14" fontId="24" fillId="0" borderId="0" xfId="0" applyNumberFormat="1" applyFont="1" applyBorder="1" applyAlignment="1">
      <alignment horizontal="center"/>
    </xf>
    <xf numFmtId="164" fontId="24" fillId="0" borderId="22" xfId="0" applyNumberFormat="1" applyFont="1" applyFill="1" applyBorder="1"/>
    <xf numFmtId="164" fontId="24" fillId="0" borderId="0" xfId="0" applyNumberFormat="1" applyFont="1" applyFill="1" applyBorder="1"/>
    <xf numFmtId="3" fontId="24" fillId="3" borderId="0" xfId="0" applyNumberFormat="1" applyFont="1" applyFill="1" applyBorder="1"/>
    <xf numFmtId="164" fontId="24" fillId="3" borderId="23" xfId="0" applyNumberFormat="1" applyFont="1" applyFill="1" applyBorder="1"/>
    <xf numFmtId="164" fontId="24" fillId="0" borderId="22" xfId="0" applyNumberFormat="1" applyFont="1" applyBorder="1"/>
    <xf numFmtId="164" fontId="24" fillId="0" borderId="0" xfId="0" applyNumberFormat="1" applyFont="1" applyBorder="1"/>
    <xf numFmtId="3" fontId="24" fillId="0" borderId="0" xfId="0" applyNumberFormat="1" applyFont="1" applyBorder="1"/>
    <xf numFmtId="164" fontId="24" fillId="0" borderId="13" xfId="0" applyNumberFormat="1" applyFont="1" applyBorder="1"/>
    <xf numFmtId="164" fontId="24" fillId="0" borderId="58" xfId="0" applyNumberFormat="1" applyFont="1" applyBorder="1"/>
    <xf numFmtId="14" fontId="24" fillId="3" borderId="0" xfId="0" applyNumberFormat="1" applyFont="1" applyFill="1" applyBorder="1" applyAlignment="1">
      <alignment horizontal="center"/>
    </xf>
    <xf numFmtId="170" fontId="24" fillId="3" borderId="0" xfId="0" applyNumberFormat="1" applyFont="1" applyFill="1" applyBorder="1"/>
    <xf numFmtId="164" fontId="24" fillId="0" borderId="23" xfId="0" applyNumberFormat="1" applyFont="1" applyBorder="1"/>
    <xf numFmtId="0" fontId="24" fillId="0" borderId="22" xfId="0" applyFont="1" applyBorder="1"/>
    <xf numFmtId="0" fontId="24" fillId="0" borderId="23" xfId="0" applyFont="1" applyBorder="1"/>
    <xf numFmtId="164" fontId="24" fillId="0" borderId="6" xfId="0" applyNumberFormat="1" applyFont="1" applyBorder="1"/>
    <xf numFmtId="4" fontId="24" fillId="0" borderId="0" xfId="0" applyNumberFormat="1" applyFont="1"/>
    <xf numFmtId="164" fontId="24" fillId="5" borderId="0" xfId="0" applyNumberFormat="1" applyFont="1" applyFill="1" applyBorder="1"/>
    <xf numFmtId="0" fontId="24" fillId="0" borderId="0" xfId="0" applyFont="1" applyBorder="1" applyAlignment="1">
      <alignment horizontal="center"/>
    </xf>
    <xf numFmtId="0" fontId="24" fillId="0" borderId="34" xfId="0" applyFont="1" applyBorder="1"/>
    <xf numFmtId="0" fontId="24" fillId="0" borderId="24" xfId="0" applyFont="1" applyBorder="1" applyAlignment="1">
      <alignment wrapText="1"/>
    </xf>
    <xf numFmtId="14" fontId="24" fillId="0" borderId="8" xfId="0" applyNumberFormat="1" applyFont="1" applyBorder="1" applyAlignment="1">
      <alignment horizontal="center"/>
    </xf>
    <xf numFmtId="164" fontId="24" fillId="0" borderId="24" xfId="0" applyNumberFormat="1" applyFont="1" applyBorder="1"/>
    <xf numFmtId="164" fontId="24" fillId="0" borderId="8" xfId="0" applyNumberFormat="1" applyFont="1" applyBorder="1"/>
    <xf numFmtId="3" fontId="24" fillId="0" borderId="8" xfId="0" applyNumberFormat="1" applyFont="1" applyBorder="1"/>
    <xf numFmtId="164" fontId="24" fillId="0" borderId="25" xfId="0" applyNumberFormat="1" applyFont="1" applyBorder="1"/>
    <xf numFmtId="0" fontId="26" fillId="0" borderId="0" xfId="0" applyFont="1" applyBorder="1" applyAlignment="1">
      <alignment horizontal="center"/>
    </xf>
    <xf numFmtId="0" fontId="24" fillId="3" borderId="22" xfId="0" applyFont="1" applyFill="1" applyBorder="1" applyAlignment="1">
      <alignment wrapText="1"/>
    </xf>
    <xf numFmtId="3" fontId="24" fillId="4" borderId="0" xfId="0" applyNumberFormat="1" applyFont="1" applyFill="1" applyBorder="1"/>
    <xf numFmtId="0" fontId="24" fillId="0" borderId="33" xfId="0" applyFont="1" applyBorder="1"/>
    <xf numFmtId="0" fontId="24" fillId="0" borderId="27" xfId="0" applyFont="1" applyBorder="1" applyAlignment="1">
      <alignment wrapText="1"/>
    </xf>
    <xf numFmtId="14" fontId="24" fillId="0" borderId="1" xfId="0" applyNumberFormat="1" applyFont="1" applyBorder="1" applyAlignment="1">
      <alignment horizontal="center"/>
    </xf>
    <xf numFmtId="0" fontId="24" fillId="0" borderId="27" xfId="0" applyFont="1" applyBorder="1"/>
    <xf numFmtId="0" fontId="24" fillId="0" borderId="1" xfId="0" applyFont="1" applyBorder="1"/>
    <xf numFmtId="3" fontId="24" fillId="0" borderId="1" xfId="0" applyNumberFormat="1" applyFont="1" applyBorder="1"/>
    <xf numFmtId="0" fontId="24" fillId="0" borderId="26" xfId="0" applyFont="1" applyBorder="1"/>
    <xf numFmtId="164" fontId="24" fillId="0" borderId="27" xfId="0" applyNumberFormat="1" applyFont="1" applyBorder="1"/>
    <xf numFmtId="164" fontId="24" fillId="0" borderId="59" xfId="0" applyNumberFormat="1" applyFont="1" applyBorder="1"/>
    <xf numFmtId="0" fontId="24" fillId="0" borderId="31" xfId="0" applyFont="1" applyBorder="1"/>
    <xf numFmtId="0" fontId="24" fillId="0" borderId="13" xfId="0" applyFont="1" applyBorder="1" applyAlignment="1">
      <alignment wrapText="1"/>
    </xf>
    <xf numFmtId="14" fontId="24" fillId="3" borderId="14" xfId="0" applyNumberFormat="1" applyFont="1" applyFill="1" applyBorder="1" applyAlignment="1">
      <alignment horizontal="center"/>
    </xf>
    <xf numFmtId="170" fontId="24" fillId="3" borderId="14" xfId="0" applyNumberFormat="1" applyFont="1" applyFill="1" applyBorder="1"/>
    <xf numFmtId="3" fontId="24" fillId="0" borderId="14" xfId="0" applyNumberFormat="1" applyFont="1" applyBorder="1"/>
    <xf numFmtId="164" fontId="24" fillId="0" borderId="15" xfId="0" applyNumberFormat="1" applyFont="1" applyBorder="1"/>
    <xf numFmtId="0" fontId="24" fillId="0" borderId="15" xfId="0" applyFont="1" applyBorder="1"/>
    <xf numFmtId="14" fontId="24" fillId="3" borderId="1" xfId="0" applyNumberFormat="1" applyFont="1" applyFill="1" applyBorder="1" applyAlignment="1">
      <alignment horizontal="center"/>
    </xf>
    <xf numFmtId="164" fontId="24" fillId="0" borderId="27" xfId="0" applyNumberFormat="1" applyFont="1" applyFill="1" applyBorder="1"/>
    <xf numFmtId="164" fontId="24" fillId="0" borderId="1" xfId="0" applyNumberFormat="1" applyFont="1" applyBorder="1"/>
    <xf numFmtId="164" fontId="24" fillId="0" borderId="26" xfId="0" applyNumberFormat="1" applyFont="1" applyBorder="1"/>
    <xf numFmtId="170" fontId="24" fillId="3" borderId="1" xfId="0" applyNumberFormat="1" applyFont="1" applyFill="1" applyBorder="1"/>
    <xf numFmtId="0" fontId="20" fillId="0" borderId="32" xfId="0" applyFont="1" applyBorder="1"/>
    <xf numFmtId="14" fontId="24" fillId="0" borderId="23" xfId="0" applyNumberFormat="1" applyFont="1" applyBorder="1" applyAlignment="1">
      <alignment horizontal="center"/>
    </xf>
    <xf numFmtId="0" fontId="32" fillId="0" borderId="32" xfId="0" applyFont="1" applyBorder="1"/>
    <xf numFmtId="14" fontId="28" fillId="0" borderId="0" xfId="0" applyNumberFormat="1" applyFont="1" applyBorder="1" applyAlignment="1">
      <alignment horizontal="center"/>
    </xf>
    <xf numFmtId="0" fontId="39" fillId="0" borderId="32" xfId="0" applyFont="1" applyBorder="1"/>
    <xf numFmtId="14" fontId="39" fillId="3" borderId="14" xfId="0" applyNumberFormat="1" applyFont="1" applyFill="1" applyBorder="1" applyAlignment="1">
      <alignment horizontal="center"/>
    </xf>
    <xf numFmtId="0" fontId="24" fillId="0" borderId="13" xfId="0" applyFont="1" applyBorder="1"/>
    <xf numFmtId="14" fontId="39" fillId="3" borderId="1" xfId="0" applyNumberFormat="1" applyFont="1" applyFill="1" applyBorder="1" applyAlignment="1">
      <alignment horizontal="center"/>
    </xf>
    <xf numFmtId="14" fontId="28" fillId="0" borderId="23" xfId="0" applyNumberFormat="1" applyFont="1" applyBorder="1" applyAlignment="1">
      <alignment horizontal="center"/>
    </xf>
    <xf numFmtId="164" fontId="28" fillId="5" borderId="0" xfId="0" applyNumberFormat="1" applyFont="1" applyFill="1" applyBorder="1"/>
    <xf numFmtId="0" fontId="32" fillId="0" borderId="0" xfId="0" applyFont="1"/>
    <xf numFmtId="164" fontId="32" fillId="3" borderId="0" xfId="0" applyNumberFormat="1" applyFont="1" applyFill="1" applyBorder="1"/>
    <xf numFmtId="164" fontId="24" fillId="3" borderId="0" xfId="0" applyNumberFormat="1" applyFont="1" applyFill="1" applyBorder="1"/>
    <xf numFmtId="0" fontId="24" fillId="0" borderId="32" xfId="0" applyFont="1" applyFill="1" applyBorder="1"/>
    <xf numFmtId="14" fontId="35" fillId="0" borderId="0" xfId="0" applyNumberFormat="1" applyFont="1" applyBorder="1" applyAlignment="1">
      <alignment horizontal="center"/>
    </xf>
    <xf numFmtId="4" fontId="24" fillId="0" borderId="0" xfId="0" applyNumberFormat="1" applyFont="1" applyFill="1" applyBorder="1"/>
    <xf numFmtId="0" fontId="24" fillId="0" borderId="34" xfId="0" applyFont="1" applyFill="1" applyBorder="1"/>
    <xf numFmtId="0" fontId="24" fillId="0" borderId="24" xfId="0" applyFont="1" applyFill="1" applyBorder="1" applyAlignment="1">
      <alignment wrapText="1"/>
    </xf>
    <xf numFmtId="14" fontId="24" fillId="0" borderId="25" xfId="0" applyNumberFormat="1" applyFont="1" applyBorder="1" applyAlignment="1">
      <alignment horizontal="center"/>
    </xf>
    <xf numFmtId="164" fontId="24" fillId="0" borderId="24" xfId="0" applyNumberFormat="1" applyFont="1" applyFill="1" applyBorder="1"/>
    <xf numFmtId="164" fontId="24" fillId="0" borderId="8" xfId="0" applyNumberFormat="1" applyFont="1" applyFill="1" applyBorder="1"/>
    <xf numFmtId="3" fontId="24" fillId="0" borderId="8" xfId="0" applyNumberFormat="1" applyFont="1" applyFill="1" applyBorder="1"/>
    <xf numFmtId="164" fontId="24" fillId="0" borderId="25" xfId="0" applyNumberFormat="1" applyFont="1" applyFill="1" applyBorder="1"/>
    <xf numFmtId="164" fontId="24" fillId="0" borderId="6" xfId="0" applyNumberFormat="1" applyFont="1" applyFill="1" applyBorder="1"/>
    <xf numFmtId="0" fontId="24" fillId="0" borderId="22" xfId="0" applyFont="1" applyFill="1" applyBorder="1" applyAlignment="1">
      <alignment wrapText="1"/>
    </xf>
    <xf numFmtId="3" fontId="24" fillId="0" borderId="0" xfId="0" applyNumberFormat="1" applyFont="1" applyFill="1" applyBorder="1"/>
    <xf numFmtId="164" fontId="24" fillId="0" borderId="23" xfId="0" applyNumberFormat="1" applyFont="1" applyFill="1" applyBorder="1"/>
    <xf numFmtId="164" fontId="40" fillId="0" borderId="0" xfId="0" applyNumberFormat="1" applyFont="1" applyBorder="1"/>
    <xf numFmtId="8" fontId="24" fillId="3" borderId="0" xfId="0" applyNumberFormat="1" applyFont="1" applyFill="1" applyBorder="1"/>
    <xf numFmtId="164" fontId="32" fillId="3" borderId="14" xfId="0" applyNumberFormat="1" applyFont="1" applyFill="1" applyBorder="1"/>
    <xf numFmtId="164" fontId="32" fillId="3" borderId="1" xfId="0" applyNumberFormat="1" applyFont="1" applyFill="1" applyBorder="1"/>
    <xf numFmtId="0" fontId="11" fillId="6" borderId="31" xfId="0" applyFont="1" applyFill="1" applyBorder="1" applyAlignment="1">
      <alignment horizontal="center" vertical="center"/>
    </xf>
    <xf numFmtId="0" fontId="12" fillId="6" borderId="13" xfId="0" applyFont="1" applyFill="1" applyBorder="1"/>
    <xf numFmtId="0" fontId="12" fillId="6" borderId="15" xfId="0" applyFont="1" applyFill="1" applyBorder="1" applyAlignment="1">
      <alignment horizontal="center"/>
    </xf>
    <xf numFmtId="0" fontId="11" fillId="6" borderId="13" xfId="0" applyFont="1" applyFill="1" applyBorder="1"/>
    <xf numFmtId="0" fontId="11" fillId="6" borderId="14" xfId="0" applyFont="1" applyFill="1" applyBorder="1"/>
    <xf numFmtId="0" fontId="41" fillId="6" borderId="14" xfId="0" applyFont="1" applyFill="1" applyBorder="1"/>
    <xf numFmtId="0" fontId="12" fillId="6" borderId="14" xfId="0" applyFont="1" applyFill="1" applyBorder="1"/>
    <xf numFmtId="0" fontId="12" fillId="6" borderId="15" xfId="0" applyFont="1" applyFill="1" applyBorder="1"/>
    <xf numFmtId="3" fontId="41" fillId="6" borderId="14" xfId="0" applyNumberFormat="1" applyFont="1" applyFill="1" applyBorder="1"/>
    <xf numFmtId="0" fontId="11" fillId="6" borderId="33" xfId="0" applyFont="1" applyFill="1" applyBorder="1" applyAlignment="1">
      <alignment horizontal="center" vertical="center" wrapText="1"/>
    </xf>
    <xf numFmtId="0" fontId="11" fillId="6" borderId="27" xfId="0" applyFont="1" applyFill="1" applyBorder="1" applyAlignment="1">
      <alignment horizontal="center" vertical="center" wrapText="1"/>
    </xf>
    <xf numFmtId="14" fontId="11" fillId="6" borderId="1" xfId="0" applyNumberFormat="1" applyFont="1" applyFill="1" applyBorder="1" applyAlignment="1">
      <alignment horizontal="center" vertical="center"/>
    </xf>
    <xf numFmtId="0" fontId="12" fillId="6" borderId="11" xfId="0" applyFont="1" applyFill="1" applyBorder="1" applyAlignment="1">
      <alignment horizontal="right" vertical="center" wrapText="1"/>
    </xf>
    <xf numFmtId="0" fontId="12" fillId="6" borderId="10" xfId="0" applyFont="1" applyFill="1" applyBorder="1" applyAlignment="1">
      <alignment horizontal="right" vertical="center" wrapText="1"/>
    </xf>
    <xf numFmtId="0" fontId="12" fillId="6" borderId="12" xfId="0" applyFont="1" applyFill="1" applyBorder="1" applyAlignment="1">
      <alignment horizontal="right" vertical="center" wrapText="1"/>
    </xf>
    <xf numFmtId="0" fontId="11" fillId="6" borderId="40" xfId="0" applyFont="1" applyFill="1" applyBorder="1" applyAlignment="1">
      <alignment horizontal="center"/>
    </xf>
    <xf numFmtId="0" fontId="11" fillId="6" borderId="57" xfId="0" applyFont="1" applyFill="1" applyBorder="1" applyAlignment="1">
      <alignment horizontal="center"/>
    </xf>
    <xf numFmtId="0" fontId="12" fillId="6" borderId="27" xfId="0" applyFont="1" applyFill="1" applyBorder="1" applyAlignment="1">
      <alignment horizontal="center" vertical="center" wrapText="1"/>
    </xf>
    <xf numFmtId="0" fontId="12" fillId="6" borderId="51" xfId="0" applyFont="1" applyFill="1" applyBorder="1" applyAlignment="1">
      <alignment horizontal="right" vertical="center" wrapText="1"/>
    </xf>
    <xf numFmtId="0" fontId="11" fillId="6" borderId="22" xfId="0" applyFont="1" applyFill="1" applyBorder="1" applyAlignment="1">
      <alignment horizontal="center"/>
    </xf>
    <xf numFmtId="0" fontId="11" fillId="6" borderId="0" xfId="0" applyFont="1" applyFill="1" applyBorder="1" applyAlignment="1">
      <alignment horizontal="center"/>
    </xf>
    <xf numFmtId="0" fontId="11" fillId="6" borderId="23" xfId="0" applyFont="1" applyFill="1" applyBorder="1" applyAlignment="1">
      <alignment horizontal="center"/>
    </xf>
    <xf numFmtId="3" fontId="12" fillId="6" borderId="22" xfId="0" applyNumberFormat="1" applyFont="1" applyFill="1" applyBorder="1"/>
    <xf numFmtId="164" fontId="12" fillId="6" borderId="0" xfId="0" applyNumberFormat="1" applyFont="1" applyFill="1" applyBorder="1"/>
    <xf numFmtId="0" fontId="12" fillId="6" borderId="23" xfId="0" applyFont="1" applyFill="1" applyBorder="1"/>
    <xf numFmtId="3" fontId="42" fillId="6" borderId="22" xfId="0" applyNumberFormat="1" applyFont="1" applyFill="1" applyBorder="1"/>
    <xf numFmtId="164" fontId="42" fillId="6" borderId="0" xfId="0" applyNumberFormat="1" applyFont="1" applyFill="1" applyBorder="1"/>
    <xf numFmtId="0" fontId="12" fillId="6" borderId="22" xfId="0" applyFont="1" applyFill="1" applyBorder="1"/>
    <xf numFmtId="172" fontId="12" fillId="6" borderId="0" xfId="0" applyNumberFormat="1" applyFont="1" applyFill="1" applyBorder="1"/>
    <xf numFmtId="0" fontId="12" fillId="6" borderId="27" xfId="0" applyFont="1" applyFill="1" applyBorder="1"/>
    <xf numFmtId="0" fontId="12" fillId="6" borderId="1" xfId="0" applyFont="1" applyFill="1" applyBorder="1"/>
    <xf numFmtId="0" fontId="12" fillId="6" borderId="26" xfId="0" applyFont="1" applyFill="1" applyBorder="1"/>
    <xf numFmtId="0" fontId="11" fillId="6" borderId="13" xfId="0" applyFont="1" applyFill="1" applyBorder="1" applyAlignment="1">
      <alignment horizontal="left"/>
    </xf>
    <xf numFmtId="0" fontId="11" fillId="6" borderId="14" xfId="0" applyFont="1" applyFill="1" applyBorder="1" applyAlignment="1">
      <alignment horizontal="center"/>
    </xf>
    <xf numFmtId="0" fontId="11" fillId="6" borderId="15" xfId="0" applyFont="1" applyFill="1" applyBorder="1" applyAlignment="1">
      <alignment horizontal="center"/>
    </xf>
    <xf numFmtId="0" fontId="12" fillId="6" borderId="27" xfId="0" applyFont="1" applyFill="1" applyBorder="1" applyAlignment="1">
      <alignment wrapText="1"/>
    </xf>
    <xf numFmtId="14" fontId="12" fillId="6" borderId="1" xfId="0" applyNumberFormat="1" applyFont="1" applyFill="1" applyBorder="1" applyAlignment="1">
      <alignment horizontal="center"/>
    </xf>
    <xf numFmtId="164" fontId="12" fillId="6" borderId="26" xfId="0" applyNumberFormat="1" applyFont="1" applyFill="1" applyBorder="1"/>
    <xf numFmtId="3" fontId="15" fillId="5" borderId="42" xfId="0" applyNumberFormat="1" applyFont="1" applyFill="1" applyBorder="1"/>
    <xf numFmtId="164" fontId="15" fillId="5" borderId="42" xfId="0" applyNumberFormat="1" applyFont="1" applyFill="1" applyBorder="1"/>
    <xf numFmtId="164" fontId="27" fillId="5" borderId="8" xfId="0" applyNumberFormat="1" applyFont="1" applyFill="1" applyBorder="1" applyAlignment="1">
      <alignment horizontal="center"/>
    </xf>
    <xf numFmtId="164" fontId="24" fillId="5" borderId="0" xfId="0" applyNumberFormat="1" applyFont="1" applyFill="1" applyBorder="1" applyAlignment="1">
      <alignment horizontal="center"/>
    </xf>
    <xf numFmtId="0" fontId="12" fillId="6" borderId="0" xfId="0" applyFont="1" applyFill="1" applyBorder="1"/>
    <xf numFmtId="0" fontId="24" fillId="7" borderId="1" xfId="0" applyFont="1" applyFill="1" applyBorder="1"/>
    <xf numFmtId="0" fontId="12" fillId="7" borderId="14" xfId="0" applyFont="1" applyFill="1" applyBorder="1"/>
    <xf numFmtId="0" fontId="12" fillId="7" borderId="0" xfId="0" applyFont="1" applyFill="1" applyBorder="1"/>
    <xf numFmtId="0" fontId="20" fillId="0" borderId="13" xfId="0" applyFont="1" applyBorder="1"/>
    <xf numFmtId="0" fontId="20" fillId="0" borderId="22" xfId="0" applyFont="1" applyBorder="1"/>
    <xf numFmtId="8" fontId="24" fillId="0" borderId="0" xfId="0" applyNumberFormat="1" applyFont="1" applyBorder="1"/>
    <xf numFmtId="0" fontId="20" fillId="0" borderId="22" xfId="0" applyFont="1" applyBorder="1" applyAlignment="1">
      <alignment vertical="center"/>
    </xf>
    <xf numFmtId="8" fontId="24" fillId="5" borderId="0" xfId="0" applyNumberFormat="1" applyFont="1" applyFill="1" applyBorder="1"/>
    <xf numFmtId="8" fontId="24" fillId="0" borderId="60" xfId="0" applyNumberFormat="1" applyFont="1" applyBorder="1" applyAlignment="1">
      <alignment vertical="center"/>
    </xf>
    <xf numFmtId="3" fontId="24" fillId="0" borderId="0" xfId="0" applyNumberFormat="1" applyFont="1" applyBorder="1" applyAlignment="1">
      <alignment vertical="center"/>
    </xf>
    <xf numFmtId="173" fontId="24" fillId="0" borderId="36" xfId="0" applyNumberFormat="1" applyFont="1" applyFill="1" applyBorder="1" applyAlignment="1">
      <alignment horizontal="center"/>
    </xf>
    <xf numFmtId="49" fontId="24" fillId="0" borderId="36" xfId="0" applyNumberFormat="1" applyFont="1" applyBorder="1" applyAlignment="1">
      <alignment horizontal="center"/>
    </xf>
    <xf numFmtId="164" fontId="24" fillId="0" borderId="36" xfId="0" applyNumberFormat="1" applyFont="1" applyFill="1" applyBorder="1" applyAlignment="1">
      <alignment horizontal="center"/>
    </xf>
    <xf numFmtId="170" fontId="24" fillId="3" borderId="36" xfId="0" applyNumberFormat="1" applyFont="1" applyFill="1" applyBorder="1"/>
    <xf numFmtId="164" fontId="24" fillId="0" borderId="61" xfId="0" applyNumberFormat="1" applyFont="1" applyFill="1" applyBorder="1" applyAlignment="1">
      <alignment horizontal="center"/>
    </xf>
    <xf numFmtId="173" fontId="24" fillId="0" borderId="3" xfId="0" applyNumberFormat="1" applyFont="1" applyFill="1" applyBorder="1" applyAlignment="1">
      <alignment horizontal="center"/>
    </xf>
    <xf numFmtId="49" fontId="24" fillId="0" borderId="3" xfId="0" applyNumberFormat="1" applyFont="1" applyBorder="1" applyAlignment="1">
      <alignment horizontal="center"/>
    </xf>
    <xf numFmtId="164" fontId="24" fillId="0" borderId="3" xfId="0" applyNumberFormat="1" applyFont="1" applyFill="1" applyBorder="1" applyAlignment="1">
      <alignment horizontal="center"/>
    </xf>
    <xf numFmtId="170" fontId="24" fillId="0" borderId="3" xfId="0" applyNumberFormat="1" applyFont="1" applyFill="1" applyBorder="1"/>
    <xf numFmtId="164" fontId="24" fillId="0" borderId="4" xfId="0" applyNumberFormat="1" applyFont="1" applyFill="1" applyBorder="1" applyAlignment="1">
      <alignment horizontal="center"/>
    </xf>
    <xf numFmtId="49" fontId="24" fillId="0" borderId="0" xfId="0" applyNumberFormat="1" applyFont="1" applyBorder="1" applyAlignment="1">
      <alignment horizontal="center"/>
    </xf>
    <xf numFmtId="164" fontId="24" fillId="0" borderId="6" xfId="0" applyNumberFormat="1" applyFont="1" applyFill="1" applyBorder="1" applyAlignment="1">
      <alignment horizontal="center"/>
    </xf>
    <xf numFmtId="170" fontId="24" fillId="0" borderId="0" xfId="0" applyNumberFormat="1" applyFont="1" applyFill="1" applyBorder="1"/>
    <xf numFmtId="173" fontId="24" fillId="0" borderId="8" xfId="0" applyNumberFormat="1" applyFont="1" applyFill="1" applyBorder="1" applyAlignment="1">
      <alignment horizontal="center"/>
    </xf>
    <xf numFmtId="49" fontId="24" fillId="0" borderId="8" xfId="0" applyNumberFormat="1" applyFont="1" applyBorder="1" applyAlignment="1">
      <alignment horizontal="center"/>
    </xf>
    <xf numFmtId="164" fontId="24" fillId="0" borderId="8" xfId="0" applyNumberFormat="1" applyFont="1" applyFill="1" applyBorder="1" applyAlignment="1">
      <alignment horizontal="center"/>
    </xf>
    <xf numFmtId="170" fontId="24" fillId="3" borderId="8" xfId="0" applyNumberFormat="1" applyFont="1" applyFill="1" applyBorder="1"/>
    <xf numFmtId="164" fontId="24" fillId="0" borderId="9" xfId="0" applyNumberFormat="1" applyFont="1" applyFill="1" applyBorder="1" applyAlignment="1">
      <alignment horizontal="center"/>
    </xf>
    <xf numFmtId="170" fontId="24" fillId="3" borderId="3" xfId="0" applyNumberFormat="1" applyFont="1" applyFill="1" applyBorder="1"/>
    <xf numFmtId="14" fontId="30" fillId="0" borderId="22" xfId="0" applyNumberFormat="1" applyFont="1" applyFill="1" applyBorder="1" applyAlignment="1">
      <alignment horizontal="center"/>
    </xf>
    <xf numFmtId="0" fontId="20" fillId="0" borderId="0" xfId="0" applyFont="1" applyBorder="1" applyAlignment="1">
      <alignment horizontal="right"/>
    </xf>
    <xf numFmtId="170" fontId="20" fillId="0" borderId="60" xfId="0" applyNumberFormat="1" applyFont="1" applyFill="1" applyBorder="1"/>
    <xf numFmtId="0" fontId="26" fillId="0" borderId="0" xfId="0" applyFont="1" applyBorder="1" applyAlignment="1">
      <alignment horizontal="left" vertical="center"/>
    </xf>
    <xf numFmtId="0" fontId="24" fillId="0" borderId="0" xfId="0" applyFont="1" applyBorder="1" applyAlignment="1">
      <alignment horizontal="left" vertical="center" wrapText="1"/>
    </xf>
    <xf numFmtId="0" fontId="24" fillId="0" borderId="23" xfId="0" applyFont="1" applyBorder="1" applyAlignment="1">
      <alignment horizontal="left" vertical="center" wrapText="1"/>
    </xf>
    <xf numFmtId="0" fontId="19" fillId="0" borderId="13" xfId="0" applyFont="1" applyBorder="1"/>
    <xf numFmtId="0" fontId="19" fillId="0" borderId="22" xfId="0" applyFont="1" applyBorder="1"/>
    <xf numFmtId="8" fontId="24" fillId="0" borderId="0" xfId="0" applyNumberFormat="1" applyFont="1" applyBorder="1" applyAlignment="1">
      <alignment horizontal="center"/>
    </xf>
    <xf numFmtId="14" fontId="24" fillId="0" borderId="5" xfId="0" applyNumberFormat="1" applyFont="1" applyBorder="1" applyAlignment="1">
      <alignment horizontal="center"/>
    </xf>
    <xf numFmtId="8" fontId="24" fillId="0" borderId="6" xfId="0" applyNumberFormat="1" applyFont="1" applyBorder="1"/>
    <xf numFmtId="14" fontId="24" fillId="0" borderId="7" xfId="0" applyNumberFormat="1" applyFont="1" applyBorder="1" applyAlignment="1">
      <alignment horizontal="center"/>
    </xf>
    <xf numFmtId="8" fontId="24" fillId="0" borderId="8" xfId="0" applyNumberFormat="1" applyFont="1" applyBorder="1" applyAlignment="1">
      <alignment horizontal="center"/>
    </xf>
    <xf numFmtId="8" fontId="24" fillId="0" borderId="9" xfId="0" applyNumberFormat="1" applyFont="1" applyBorder="1"/>
    <xf numFmtId="0" fontId="11" fillId="6" borderId="2" xfId="0" applyFont="1" applyFill="1" applyBorder="1" applyAlignment="1">
      <alignment horizontal="center"/>
    </xf>
    <xf numFmtId="0" fontId="11" fillId="6" borderId="3" xfId="0" applyFont="1" applyFill="1" applyBorder="1" applyAlignment="1">
      <alignment horizontal="center"/>
    </xf>
    <xf numFmtId="0" fontId="11" fillId="6" borderId="4" xfId="0" applyFont="1" applyFill="1" applyBorder="1" applyAlignment="1">
      <alignment horizontal="center"/>
    </xf>
    <xf numFmtId="0" fontId="11" fillId="6" borderId="7" xfId="0" applyFont="1" applyFill="1" applyBorder="1" applyAlignment="1">
      <alignment horizontal="center"/>
    </xf>
    <xf numFmtId="0" fontId="11" fillId="6" borderId="8" xfId="0" applyFont="1" applyFill="1" applyBorder="1" applyAlignment="1">
      <alignment horizontal="center"/>
    </xf>
    <xf numFmtId="0" fontId="11" fillId="6" borderId="9" xfId="0" applyFont="1" applyFill="1" applyBorder="1" applyAlignment="1">
      <alignment horizontal="center"/>
    </xf>
    <xf numFmtId="0" fontId="27" fillId="0" borderId="0" xfId="0" applyFont="1" applyBorder="1" applyAlignment="1">
      <alignment horizontal="center"/>
    </xf>
    <xf numFmtId="0" fontId="24" fillId="0" borderId="22" xfId="0" applyFont="1" applyBorder="1" applyAlignment="1">
      <alignment vertical="center" wrapText="1"/>
    </xf>
    <xf numFmtId="3" fontId="24" fillId="5" borderId="0" xfId="0" applyNumberFormat="1" applyFont="1" applyFill="1" applyBorder="1" applyAlignment="1">
      <alignment horizontal="center"/>
    </xf>
    <xf numFmtId="0" fontId="24" fillId="0" borderId="23" xfId="0" applyFont="1" applyBorder="1" applyAlignment="1">
      <alignment horizontal="right" vertical="center" wrapText="1"/>
    </xf>
    <xf numFmtId="3" fontId="24" fillId="0" borderId="0" xfId="0" applyNumberFormat="1" applyFont="1" applyFill="1" applyBorder="1" applyAlignment="1">
      <alignment horizontal="center"/>
    </xf>
    <xf numFmtId="0" fontId="30" fillId="0" borderId="23" xfId="0" applyFont="1" applyBorder="1" applyAlignment="1">
      <alignment horizontal="right" wrapText="1"/>
    </xf>
    <xf numFmtId="8" fontId="24" fillId="5" borderId="8" xfId="0" applyNumberFormat="1" applyFont="1" applyFill="1" applyBorder="1"/>
    <xf numFmtId="8" fontId="20" fillId="0" borderId="0" xfId="0" applyNumberFormat="1" applyFont="1" applyBorder="1"/>
    <xf numFmtId="0" fontId="24" fillId="0" borderId="0" xfId="0" applyFont="1" applyBorder="1" applyAlignment="1">
      <alignment horizontal="right"/>
    </xf>
    <xf numFmtId="8" fontId="20" fillId="0" borderId="0" xfId="0" applyNumberFormat="1" applyFont="1" applyFill="1" applyBorder="1"/>
    <xf numFmtId="0" fontId="26" fillId="0" borderId="22" xfId="0" applyFont="1" applyBorder="1"/>
    <xf numFmtId="8" fontId="26" fillId="0" borderId="0" xfId="0" applyNumberFormat="1" applyFont="1" applyBorder="1"/>
    <xf numFmtId="0" fontId="26" fillId="0" borderId="27" xfId="0" applyFont="1" applyBorder="1"/>
    <xf numFmtId="0" fontId="24" fillId="0" borderId="14" xfId="0" applyFont="1" applyFill="1" applyBorder="1"/>
    <xf numFmtId="0" fontId="24" fillId="0" borderId="15" xfId="0" applyFont="1" applyFill="1" applyBorder="1"/>
    <xf numFmtId="0" fontId="26" fillId="0" borderId="22" xfId="0" applyFont="1" applyFill="1" applyBorder="1"/>
    <xf numFmtId="0" fontId="27" fillId="0" borderId="22" xfId="0" applyFont="1" applyFill="1" applyBorder="1"/>
    <xf numFmtId="0" fontId="27" fillId="0" borderId="0" xfId="0" applyFont="1" applyFill="1" applyBorder="1" applyAlignment="1">
      <alignment horizontal="center"/>
    </xf>
    <xf numFmtId="0" fontId="27" fillId="0" borderId="0" xfId="0" applyFont="1" applyFill="1" applyBorder="1" applyAlignment="1">
      <alignment horizontal="right"/>
    </xf>
    <xf numFmtId="0" fontId="27" fillId="0" borderId="23" xfId="0" applyFont="1" applyFill="1" applyBorder="1" applyAlignment="1">
      <alignment horizontal="right"/>
    </xf>
    <xf numFmtId="169" fontId="24" fillId="0" borderId="0" xfId="0" applyNumberFormat="1" applyFont="1" applyFill="1" applyBorder="1" applyAlignment="1">
      <alignment horizontal="center"/>
    </xf>
    <xf numFmtId="8" fontId="24" fillId="0" borderId="23" xfId="0" applyNumberFormat="1" applyFont="1" applyFill="1" applyBorder="1"/>
    <xf numFmtId="169" fontId="24" fillId="0" borderId="0" xfId="0" applyNumberFormat="1" applyFont="1" applyFill="1" applyBorder="1" applyAlignment="1">
      <alignment vertical="center" wrapText="1"/>
    </xf>
    <xf numFmtId="3" fontId="24" fillId="0" borderId="0" xfId="0" applyNumberFormat="1" applyFont="1" applyFill="1" applyBorder="1" applyAlignment="1">
      <alignment vertical="center" wrapText="1"/>
    </xf>
    <xf numFmtId="8" fontId="20" fillId="0" borderId="3" xfId="0" applyNumberFormat="1" applyFont="1" applyFill="1" applyBorder="1" applyAlignment="1">
      <alignment vertical="center" wrapText="1"/>
    </xf>
    <xf numFmtId="8" fontId="20" fillId="0" borderId="56" xfId="0" applyNumberFormat="1" applyFont="1" applyFill="1" applyBorder="1" applyAlignment="1">
      <alignment vertical="center" wrapText="1"/>
    </xf>
    <xf numFmtId="169" fontId="24" fillId="0" borderId="1" xfId="0" applyNumberFormat="1" applyFont="1" applyFill="1" applyBorder="1" applyAlignment="1">
      <alignment vertical="center" wrapText="1"/>
    </xf>
    <xf numFmtId="3" fontId="24" fillId="0" borderId="1" xfId="0" applyNumberFormat="1" applyFont="1" applyFill="1" applyBorder="1" applyAlignment="1">
      <alignment vertical="center" wrapText="1"/>
    </xf>
    <xf numFmtId="164" fontId="24" fillId="0" borderId="1" xfId="0" applyNumberFormat="1" applyFont="1" applyFill="1" applyBorder="1" applyAlignment="1">
      <alignment vertical="center" wrapText="1"/>
    </xf>
    <xf numFmtId="8" fontId="24" fillId="0" borderId="26" xfId="0" applyNumberFormat="1" applyFont="1" applyFill="1" applyBorder="1" applyAlignment="1">
      <alignment vertical="center" wrapText="1"/>
    </xf>
    <xf numFmtId="169" fontId="24" fillId="0" borderId="0" xfId="0" applyNumberFormat="1" applyFont="1" applyBorder="1" applyAlignment="1">
      <alignment vertical="center" wrapText="1"/>
    </xf>
    <xf numFmtId="3" fontId="24" fillId="0" borderId="0" xfId="0" applyNumberFormat="1" applyFont="1" applyBorder="1" applyAlignment="1">
      <alignment vertical="center" wrapText="1"/>
    </xf>
    <xf numFmtId="164" fontId="24" fillId="0" borderId="0" xfId="0" applyNumberFormat="1" applyFont="1" applyBorder="1" applyAlignment="1">
      <alignment vertical="center" wrapText="1"/>
    </xf>
    <xf numFmtId="8" fontId="24" fillId="0" borderId="0" xfId="0" applyNumberFormat="1" applyFont="1" applyBorder="1" applyAlignment="1">
      <alignment vertical="center" wrapText="1"/>
    </xf>
    <xf numFmtId="169" fontId="24" fillId="0" borderId="14" xfId="0" applyNumberFormat="1" applyFont="1" applyBorder="1" applyAlignment="1">
      <alignment vertical="center" wrapText="1"/>
    </xf>
    <xf numFmtId="3" fontId="24" fillId="0" borderId="14" xfId="0" applyNumberFormat="1" applyFont="1" applyBorder="1" applyAlignment="1">
      <alignment vertical="center" wrapText="1"/>
    </xf>
    <xf numFmtId="164" fontId="24" fillId="0" borderId="14" xfId="0" applyNumberFormat="1" applyFont="1" applyBorder="1" applyAlignment="1">
      <alignment vertical="center" wrapText="1"/>
    </xf>
    <xf numFmtId="8" fontId="24" fillId="0" borderId="15" xfId="0" applyNumberFormat="1" applyFont="1" applyBorder="1" applyAlignment="1">
      <alignment vertical="center" wrapText="1"/>
    </xf>
    <xf numFmtId="8" fontId="24" fillId="0" borderId="23" xfId="0" applyNumberFormat="1" applyFont="1" applyBorder="1" applyAlignment="1">
      <alignment vertical="center" wrapText="1"/>
    </xf>
    <xf numFmtId="3" fontId="24" fillId="0" borderId="55" xfId="0" applyNumberFormat="1" applyFont="1" applyFill="1" applyBorder="1" applyAlignment="1">
      <alignment horizontal="center"/>
    </xf>
    <xf numFmtId="165" fontId="24" fillId="0" borderId="55" xfId="0" applyNumberFormat="1" applyFont="1" applyFill="1" applyBorder="1" applyAlignment="1">
      <alignment horizontal="center"/>
    </xf>
    <xf numFmtId="164" fontId="24" fillId="0" borderId="0" xfId="0" applyNumberFormat="1" applyFont="1" applyFill="1" applyBorder="1" applyAlignment="1">
      <alignment vertical="center" wrapText="1"/>
    </xf>
    <xf numFmtId="165" fontId="24" fillId="0" borderId="0" xfId="0" applyNumberFormat="1" applyFont="1" applyFill="1" applyBorder="1" applyAlignment="1"/>
    <xf numFmtId="165" fontId="24" fillId="0" borderId="1" xfId="0" applyNumberFormat="1" applyFont="1" applyFill="1" applyBorder="1" applyAlignment="1"/>
    <xf numFmtId="164" fontId="24" fillId="0" borderId="0" xfId="0" applyNumberFormat="1" applyFont="1" applyAlignment="1">
      <alignment vertical="center" wrapText="1"/>
    </xf>
    <xf numFmtId="8" fontId="24" fillId="0" borderId="0" xfId="0" applyNumberFormat="1" applyFont="1" applyAlignment="1">
      <alignment vertical="center" wrapText="1"/>
    </xf>
    <xf numFmtId="169" fontId="24" fillId="0" borderId="0" xfId="0" applyNumberFormat="1" applyFont="1" applyAlignment="1">
      <alignment vertical="center" wrapText="1"/>
    </xf>
    <xf numFmtId="3" fontId="24" fillId="0" borderId="0" xfId="0" applyNumberFormat="1" applyFont="1" applyAlignment="1">
      <alignment vertical="center" wrapText="1"/>
    </xf>
    <xf numFmtId="8" fontId="24" fillId="0" borderId="23" xfId="0" applyNumberFormat="1" applyFont="1" applyFill="1" applyBorder="1" applyAlignment="1">
      <alignment vertical="center" wrapText="1"/>
    </xf>
    <xf numFmtId="169" fontId="24" fillId="0" borderId="1" xfId="0" applyNumberFormat="1" applyFont="1" applyBorder="1" applyAlignment="1">
      <alignment vertical="center" wrapText="1"/>
    </xf>
    <xf numFmtId="0" fontId="12" fillId="6" borderId="27" xfId="1" applyFont="1" applyFill="1" applyBorder="1" applyAlignment="1" applyProtection="1"/>
    <xf numFmtId="0" fontId="12" fillId="6" borderId="1" xfId="1" applyFont="1" applyFill="1" applyBorder="1" applyAlignment="1" applyProtection="1"/>
    <xf numFmtId="0" fontId="36" fillId="0" borderId="0" xfId="0" applyFont="1" applyBorder="1"/>
    <xf numFmtId="0" fontId="19" fillId="0" borderId="13" xfId="0" applyFont="1" applyFill="1" applyBorder="1"/>
    <xf numFmtId="0" fontId="12" fillId="6" borderId="55" xfId="0" applyFont="1" applyFill="1" applyBorder="1"/>
    <xf numFmtId="0" fontId="12" fillId="6" borderId="44" xfId="0" applyFont="1" applyFill="1" applyBorder="1"/>
    <xf numFmtId="0" fontId="12" fillId="6" borderId="45" xfId="0" applyFont="1" applyFill="1" applyBorder="1"/>
    <xf numFmtId="0" fontId="12" fillId="6" borderId="46" xfId="0" applyFont="1" applyFill="1" applyBorder="1"/>
    <xf numFmtId="0" fontId="7" fillId="0" borderId="0" xfId="0" applyFont="1"/>
    <xf numFmtId="8" fontId="24" fillId="0" borderId="8" xfId="0" applyNumberFormat="1" applyFont="1" applyBorder="1"/>
    <xf numFmtId="0" fontId="45" fillId="0" borderId="0" xfId="0" applyFont="1"/>
    <xf numFmtId="0" fontId="7" fillId="0" borderId="0" xfId="0" applyFont="1" applyAlignment="1">
      <alignment vertical="center" wrapText="1"/>
    </xf>
    <xf numFmtId="0" fontId="7" fillId="0" borderId="0" xfId="0" applyFont="1" applyFill="1" applyAlignment="1">
      <alignment vertical="center" wrapText="1"/>
    </xf>
    <xf numFmtId="0" fontId="7" fillId="0" borderId="0" xfId="0" applyFont="1" applyFill="1"/>
    <xf numFmtId="0" fontId="37" fillId="0" borderId="13" xfId="0" applyFont="1" applyBorder="1"/>
    <xf numFmtId="0" fontId="24" fillId="0" borderId="23" xfId="0" applyFont="1" applyBorder="1" applyAlignment="1">
      <alignment horizontal="right" wrapText="1"/>
    </xf>
    <xf numFmtId="165" fontId="24" fillId="0" borderId="22" xfId="0" applyNumberFormat="1" applyFont="1" applyFill="1" applyBorder="1" applyAlignment="1">
      <alignment horizontal="center"/>
    </xf>
    <xf numFmtId="165" fontId="24" fillId="0" borderId="0" xfId="0" applyNumberFormat="1" applyFont="1" applyFill="1" applyBorder="1" applyAlignment="1">
      <alignment horizontal="center"/>
    </xf>
    <xf numFmtId="165" fontId="24" fillId="0" borderId="23" xfId="0" applyNumberFormat="1" applyFont="1" applyFill="1" applyBorder="1" applyAlignment="1">
      <alignment horizontal="center"/>
    </xf>
    <xf numFmtId="0" fontId="20" fillId="0" borderId="28" xfId="0" applyFont="1" applyBorder="1"/>
    <xf numFmtId="0" fontId="17" fillId="0" borderId="0" xfId="0" applyFont="1"/>
    <xf numFmtId="8" fontId="46" fillId="5" borderId="8" xfId="0" applyNumberFormat="1" applyFont="1" applyFill="1" applyBorder="1"/>
    <xf numFmtId="0" fontId="24" fillId="0" borderId="17" xfId="0" applyFont="1" applyBorder="1"/>
    <xf numFmtId="0" fontId="24" fillId="0" borderId="18" xfId="0" applyFont="1" applyBorder="1"/>
    <xf numFmtId="0" fontId="24" fillId="0" borderId="29" xfId="0" applyFont="1" applyBorder="1"/>
    <xf numFmtId="0" fontId="26" fillId="0" borderId="28" xfId="0" applyFont="1" applyBorder="1"/>
    <xf numFmtId="0" fontId="24" fillId="0" borderId="28" xfId="0" applyFont="1" applyBorder="1"/>
    <xf numFmtId="0" fontId="27" fillId="0" borderId="28" xfId="0" applyFont="1" applyBorder="1"/>
    <xf numFmtId="0" fontId="27" fillId="0" borderId="0" xfId="0" applyFont="1" applyBorder="1" applyAlignment="1">
      <alignment horizontal="right"/>
    </xf>
    <xf numFmtId="0" fontId="27" fillId="0" borderId="29" xfId="0" applyFont="1" applyBorder="1" applyAlignment="1">
      <alignment horizontal="right"/>
    </xf>
    <xf numFmtId="169" fontId="24" fillId="0" borderId="0" xfId="0" applyNumberFormat="1" applyFont="1" applyBorder="1" applyAlignment="1">
      <alignment horizontal="center"/>
    </xf>
    <xf numFmtId="8" fontId="24" fillId="0" borderId="29" xfId="0" applyNumberFormat="1" applyFont="1" applyBorder="1"/>
    <xf numFmtId="0" fontId="26" fillId="0" borderId="0" xfId="0" applyFont="1"/>
    <xf numFmtId="8" fontId="20" fillId="0" borderId="3" xfId="0" applyNumberFormat="1" applyFont="1" applyBorder="1" applyAlignment="1">
      <alignment vertical="center" wrapText="1"/>
    </xf>
    <xf numFmtId="8" fontId="20" fillId="0" borderId="43" xfId="0" applyNumberFormat="1" applyFont="1" applyBorder="1" applyAlignment="1">
      <alignment vertical="center" wrapText="1"/>
    </xf>
    <xf numFmtId="0" fontId="24" fillId="0" borderId="19" xfId="0" applyFont="1" applyBorder="1"/>
    <xf numFmtId="169" fontId="24" fillId="0" borderId="20" xfId="0" applyNumberFormat="1" applyFont="1" applyBorder="1" applyAlignment="1">
      <alignment vertical="center" wrapText="1"/>
    </xf>
    <xf numFmtId="3" fontId="24" fillId="0" borderId="20" xfId="0" applyNumberFormat="1" applyFont="1" applyBorder="1" applyAlignment="1">
      <alignment vertical="center" wrapText="1"/>
    </xf>
    <xf numFmtId="164" fontId="24" fillId="0" borderId="20" xfId="0" applyNumberFormat="1" applyFont="1" applyBorder="1" applyAlignment="1">
      <alignment vertical="center" wrapText="1"/>
    </xf>
    <xf numFmtId="8" fontId="24" fillId="0" borderId="21" xfId="0" applyNumberFormat="1" applyFont="1" applyBorder="1" applyAlignment="1">
      <alignment vertical="center" wrapText="1"/>
    </xf>
    <xf numFmtId="169" fontId="24" fillId="0" borderId="17" xfId="0" applyNumberFormat="1" applyFont="1" applyBorder="1" applyAlignment="1">
      <alignment vertical="center" wrapText="1"/>
    </xf>
    <xf numFmtId="3" fontId="24" fillId="0" borderId="17" xfId="0" applyNumberFormat="1" applyFont="1" applyBorder="1" applyAlignment="1">
      <alignment vertical="center" wrapText="1"/>
    </xf>
    <xf numFmtId="164" fontId="24" fillId="0" borderId="17" xfId="0" applyNumberFormat="1" applyFont="1" applyBorder="1" applyAlignment="1">
      <alignment vertical="center" wrapText="1"/>
    </xf>
    <xf numFmtId="8" fontId="24" fillId="0" borderId="18" xfId="0" applyNumberFormat="1" applyFont="1" applyBorder="1" applyAlignment="1">
      <alignment vertical="center" wrapText="1"/>
    </xf>
    <xf numFmtId="8" fontId="24" fillId="0" borderId="29" xfId="0" applyNumberFormat="1" applyFont="1" applyBorder="1" applyAlignment="1">
      <alignment vertical="center" wrapText="1"/>
    </xf>
    <xf numFmtId="165" fontId="20" fillId="0" borderId="38" xfId="0" applyNumberFormat="1" applyFont="1" applyBorder="1" applyAlignment="1">
      <alignment horizontal="center"/>
    </xf>
    <xf numFmtId="6" fontId="20" fillId="0" borderId="35" xfId="0" applyNumberFormat="1" applyFont="1" applyBorder="1" applyAlignment="1">
      <alignment vertical="center" wrapText="1"/>
    </xf>
    <xf numFmtId="164" fontId="24" fillId="0" borderId="36" xfId="0" applyNumberFormat="1" applyFont="1" applyBorder="1" applyAlignment="1">
      <alignment vertical="center" wrapText="1"/>
    </xf>
    <xf numFmtId="8" fontId="24" fillId="0" borderId="39" xfId="0" applyNumberFormat="1" applyFont="1" applyBorder="1" applyAlignment="1">
      <alignment vertical="center" wrapText="1"/>
    </xf>
    <xf numFmtId="6" fontId="24" fillId="0" borderId="35" xfId="0" applyNumberFormat="1" applyFont="1" applyBorder="1" applyAlignment="1">
      <alignment vertical="center"/>
    </xf>
    <xf numFmtId="164" fontId="24" fillId="0" borderId="36" xfId="0" applyNumberFormat="1" applyFont="1" applyBorder="1" applyAlignment="1">
      <alignment vertical="center"/>
    </xf>
    <xf numFmtId="8" fontId="24" fillId="0" borderId="39" xfId="0" applyNumberFormat="1" applyFont="1" applyBorder="1" applyAlignment="1">
      <alignment vertical="center"/>
    </xf>
    <xf numFmtId="6" fontId="24" fillId="0" borderId="38" xfId="0" applyNumberFormat="1" applyFont="1" applyBorder="1" applyAlignment="1">
      <alignment vertical="center"/>
    </xf>
    <xf numFmtId="0" fontId="24" fillId="0" borderId="20" xfId="0" applyFont="1" applyBorder="1"/>
    <xf numFmtId="0" fontId="24" fillId="0" borderId="21" xfId="0" applyFont="1" applyBorder="1"/>
    <xf numFmtId="0" fontId="20" fillId="0" borderId="38" xfId="0" applyFont="1" applyBorder="1" applyAlignment="1">
      <alignment horizontal="center"/>
    </xf>
    <xf numFmtId="8" fontId="20" fillId="0" borderId="35" xfId="0" applyNumberFormat="1" applyFont="1" applyBorder="1" applyAlignment="1">
      <alignment vertical="center" wrapText="1"/>
    </xf>
    <xf numFmtId="164" fontId="20" fillId="0" borderId="38" xfId="0" applyNumberFormat="1" applyFont="1" applyBorder="1" applyAlignment="1">
      <alignment horizontal="center"/>
    </xf>
    <xf numFmtId="0" fontId="7" fillId="0" borderId="19" xfId="0" applyFont="1" applyBorder="1"/>
    <xf numFmtId="0" fontId="7" fillId="0" borderId="20" xfId="0" applyFont="1" applyBorder="1"/>
    <xf numFmtId="0" fontId="7" fillId="0" borderId="21" xfId="0" applyFont="1" applyBorder="1"/>
    <xf numFmtId="0" fontId="19" fillId="0" borderId="16" xfId="0" applyFont="1" applyBorder="1"/>
    <xf numFmtId="0" fontId="12" fillId="6" borderId="38" xfId="0" applyFont="1" applyFill="1" applyBorder="1"/>
    <xf numFmtId="0" fontId="12" fillId="6" borderId="35" xfId="0" applyFont="1" applyFill="1" applyBorder="1"/>
    <xf numFmtId="0" fontId="12" fillId="6" borderId="36" xfId="0" applyFont="1" applyFill="1" applyBorder="1"/>
    <xf numFmtId="0" fontId="12" fillId="6" borderId="39" xfId="0" applyFont="1" applyFill="1" applyBorder="1"/>
    <xf numFmtId="8" fontId="24" fillId="0" borderId="37" xfId="0" applyNumberFormat="1" applyFont="1" applyBorder="1"/>
    <xf numFmtId="8" fontId="20" fillId="0" borderId="0" xfId="0" applyNumberFormat="1" applyFont="1" applyBorder="1" applyAlignment="1">
      <alignment vertical="center" wrapText="1"/>
    </xf>
    <xf numFmtId="8" fontId="20" fillId="0" borderId="29" xfId="0" applyNumberFormat="1" applyFont="1" applyBorder="1" applyAlignment="1">
      <alignment vertical="center" wrapText="1"/>
    </xf>
    <xf numFmtId="0" fontId="15" fillId="0" borderId="0" xfId="0" applyFont="1" applyFill="1" applyBorder="1" applyAlignment="1">
      <alignment horizontal="center"/>
    </xf>
    <xf numFmtId="0" fontId="24" fillId="0" borderId="23" xfId="0" applyFont="1" applyFill="1" applyBorder="1" applyAlignment="1">
      <alignment horizontal="right" vertical="center" wrapText="1"/>
    </xf>
    <xf numFmtId="14" fontId="24" fillId="0" borderId="0" xfId="0" applyNumberFormat="1" applyFont="1" applyFill="1" applyBorder="1" applyAlignment="1">
      <alignment horizontal="center"/>
    </xf>
    <xf numFmtId="8" fontId="24" fillId="5" borderId="0" xfId="0" applyNumberFormat="1" applyFont="1" applyFill="1" applyBorder="1" applyAlignment="1">
      <alignment vertical="center"/>
    </xf>
    <xf numFmtId="0" fontId="20" fillId="0" borderId="22" xfId="0" applyFont="1" applyBorder="1" applyAlignment="1">
      <alignment vertical="center" wrapText="1"/>
    </xf>
    <xf numFmtId="14" fontId="45" fillId="0" borderId="0" xfId="0" applyNumberFormat="1" applyFont="1"/>
    <xf numFmtId="169" fontId="24" fillId="0" borderId="0" xfId="0" applyNumberFormat="1" applyFont="1" applyFill="1" applyBorder="1" applyAlignment="1">
      <alignment horizontal="center" vertical="center" wrapText="1"/>
    </xf>
    <xf numFmtId="0" fontId="15" fillId="0" borderId="0" xfId="0" applyFont="1" applyFill="1" applyBorder="1" applyAlignment="1">
      <alignment horizontal="right"/>
    </xf>
    <xf numFmtId="169" fontId="24" fillId="0" borderId="0" xfId="0" applyNumberFormat="1" applyFont="1" applyFill="1" applyBorder="1" applyAlignment="1">
      <alignment horizontal="right" vertical="center" wrapText="1"/>
    </xf>
    <xf numFmtId="165" fontId="24" fillId="0" borderId="55" xfId="0" applyNumberFormat="1" applyFont="1" applyFill="1" applyBorder="1" applyAlignment="1">
      <alignment horizontal="center"/>
    </xf>
    <xf numFmtId="0" fontId="27" fillId="0" borderId="23" xfId="0" applyFont="1" applyBorder="1" applyAlignment="1">
      <alignment horizontal="center"/>
    </xf>
    <xf numFmtId="8" fontId="24" fillId="0" borderId="23" xfId="0" applyNumberFormat="1" applyFont="1" applyBorder="1"/>
    <xf numFmtId="17" fontId="0" fillId="0" borderId="0" xfId="0" applyNumberFormat="1"/>
    <xf numFmtId="164" fontId="35" fillId="0" borderId="0" xfId="0" applyNumberFormat="1" applyFont="1" applyFill="1" applyBorder="1"/>
    <xf numFmtId="14" fontId="24" fillId="0" borderId="35" xfId="0" applyNumberFormat="1" applyFont="1" applyBorder="1" applyAlignment="1">
      <alignment horizontal="center"/>
    </xf>
    <xf numFmtId="14" fontId="30" fillId="0" borderId="2" xfId="0" applyNumberFormat="1" applyFont="1" applyBorder="1" applyAlignment="1">
      <alignment horizontal="center"/>
    </xf>
    <xf numFmtId="14" fontId="30" fillId="0" borderId="5" xfId="0" applyNumberFormat="1" applyFont="1" applyBorder="1" applyAlignment="1">
      <alignment horizontal="center"/>
    </xf>
    <xf numFmtId="165" fontId="24" fillId="0" borderId="55" xfId="0" applyNumberFormat="1" applyFont="1" applyFill="1" applyBorder="1" applyAlignment="1">
      <alignment horizontal="center"/>
    </xf>
    <xf numFmtId="8" fontId="24" fillId="0" borderId="26" xfId="0" applyNumberFormat="1" applyFont="1" applyBorder="1" applyAlignment="1">
      <alignment vertical="center" wrapText="1"/>
    </xf>
    <xf numFmtId="0" fontId="0" fillId="0" borderId="0" xfId="0" applyAlignment="1">
      <alignment wrapText="1"/>
    </xf>
    <xf numFmtId="0" fontId="12" fillId="0" borderId="22" xfId="0" applyFont="1" applyFill="1" applyBorder="1"/>
    <xf numFmtId="0" fontId="12" fillId="6" borderId="55" xfId="0" applyFont="1" applyFill="1" applyBorder="1" applyAlignment="1">
      <alignment vertical="center" wrapText="1"/>
    </xf>
    <xf numFmtId="0" fontId="24" fillId="0" borderId="0" xfId="0" applyFont="1" applyAlignment="1">
      <alignment horizontal="left" vertical="center" wrapText="1"/>
    </xf>
    <xf numFmtId="14" fontId="35" fillId="0" borderId="2" xfId="0" applyNumberFormat="1" applyFont="1" applyBorder="1" applyAlignment="1">
      <alignment horizontal="center"/>
    </xf>
    <xf numFmtId="165" fontId="24" fillId="0" borderId="55" xfId="0" applyNumberFormat="1" applyFont="1" applyFill="1" applyBorder="1" applyAlignment="1">
      <alignment horizontal="center"/>
    </xf>
    <xf numFmtId="0" fontId="4" fillId="0" borderId="23" xfId="0" applyFont="1" applyBorder="1"/>
    <xf numFmtId="8" fontId="24" fillId="0" borderId="0" xfId="0" applyNumberFormat="1" applyFont="1" applyFill="1" applyBorder="1"/>
    <xf numFmtId="8" fontId="24" fillId="0" borderId="24" xfId="0" applyNumberFormat="1" applyFont="1" applyBorder="1"/>
    <xf numFmtId="8" fontId="24" fillId="0" borderId="8" xfId="0" applyNumberFormat="1" applyFont="1" applyBorder="1" applyAlignment="1">
      <alignment horizontal="right"/>
    </xf>
    <xf numFmtId="8" fontId="24" fillId="0" borderId="27" xfId="0" applyNumberFormat="1" applyFont="1" applyBorder="1"/>
    <xf numFmtId="0" fontId="26" fillId="0" borderId="23" xfId="0" applyFont="1" applyBorder="1"/>
    <xf numFmtId="0" fontId="26" fillId="0" borderId="26" xfId="0" applyFont="1" applyBorder="1" applyAlignment="1">
      <alignment horizontal="left"/>
    </xf>
    <xf numFmtId="4" fontId="12" fillId="0" borderId="0" xfId="0" applyNumberFormat="1" applyFont="1" applyBorder="1"/>
    <xf numFmtId="8" fontId="24" fillId="0" borderId="0" xfId="0" applyNumberFormat="1" applyFont="1" applyFill="1" applyBorder="1" applyAlignment="1">
      <alignment horizontal="right"/>
    </xf>
    <xf numFmtId="4" fontId="50" fillId="7" borderId="0" xfId="0" applyNumberFormat="1" applyFont="1" applyFill="1" applyBorder="1"/>
    <xf numFmtId="0" fontId="17" fillId="0" borderId="27" xfId="0" applyFont="1" applyBorder="1"/>
    <xf numFmtId="0" fontId="24" fillId="0" borderId="0" xfId="0" applyFont="1" applyAlignment="1">
      <alignment horizontal="left" vertical="center" wrapText="1"/>
    </xf>
    <xf numFmtId="165" fontId="24" fillId="0" borderId="55" xfId="0" applyNumberFormat="1" applyFont="1" applyFill="1" applyBorder="1" applyAlignment="1">
      <alignment horizontal="center"/>
    </xf>
    <xf numFmtId="0" fontId="22" fillId="6" borderId="58" xfId="0" applyFont="1" applyFill="1" applyBorder="1" applyAlignment="1">
      <alignment horizontal="center"/>
    </xf>
    <xf numFmtId="166" fontId="22" fillId="6" borderId="6" xfId="0" applyNumberFormat="1" applyFont="1" applyFill="1" applyBorder="1" applyAlignment="1">
      <alignment horizontal="center"/>
    </xf>
    <xf numFmtId="166" fontId="22" fillId="6" borderId="59" xfId="0" applyNumberFormat="1" applyFont="1" applyFill="1" applyBorder="1" applyAlignment="1">
      <alignment horizontal="center"/>
    </xf>
    <xf numFmtId="0" fontId="23" fillId="6" borderId="41" xfId="0" applyFont="1" applyFill="1" applyBorder="1" applyAlignment="1">
      <alignment horizontal="center"/>
    </xf>
    <xf numFmtId="0" fontId="15" fillId="0" borderId="22" xfId="0" applyFont="1" applyFill="1" applyBorder="1" applyAlignment="1">
      <alignment horizontal="center"/>
    </xf>
    <xf numFmtId="0" fontId="15" fillId="0" borderId="27" xfId="0" applyFont="1" applyFill="1" applyBorder="1" applyAlignment="1">
      <alignment horizontal="center"/>
    </xf>
    <xf numFmtId="0" fontId="15" fillId="0" borderId="1" xfId="0" applyFont="1" applyFill="1" applyBorder="1" applyAlignment="1">
      <alignment horizontal="center"/>
    </xf>
    <xf numFmtId="0" fontId="15" fillId="0" borderId="1" xfId="0" applyFont="1" applyBorder="1" applyAlignment="1">
      <alignment horizontal="right"/>
    </xf>
    <xf numFmtId="0" fontId="24" fillId="0" borderId="23" xfId="0" applyFont="1" applyFill="1" applyBorder="1" applyAlignment="1">
      <alignment horizontal="left" vertical="center" wrapText="1"/>
    </xf>
    <xf numFmtId="167" fontId="15" fillId="0" borderId="1" xfId="0" applyNumberFormat="1" applyFont="1" applyFill="1" applyBorder="1" applyAlignment="1">
      <alignment horizontal="center"/>
    </xf>
    <xf numFmtId="167" fontId="15" fillId="0" borderId="27" xfId="0" applyNumberFormat="1" applyFont="1" applyFill="1" applyBorder="1" applyAlignment="1">
      <alignment horizontal="center"/>
    </xf>
    <xf numFmtId="167" fontId="15" fillId="0" borderId="26" xfId="0" applyNumberFormat="1" applyFont="1" applyFill="1" applyBorder="1" applyAlignment="1">
      <alignment horizontal="center"/>
    </xf>
    <xf numFmtId="8" fontId="35" fillId="5" borderId="24" xfId="0" applyNumberFormat="1" applyFont="1" applyFill="1" applyBorder="1"/>
    <xf numFmtId="8" fontId="24" fillId="0" borderId="22" xfId="0" applyNumberFormat="1" applyFont="1" applyFill="1" applyBorder="1"/>
    <xf numFmtId="0" fontId="24" fillId="0" borderId="61" xfId="0" applyFont="1" applyBorder="1" applyAlignment="1">
      <alignment vertical="center" wrapText="1"/>
    </xf>
    <xf numFmtId="0" fontId="24" fillId="0" borderId="84" xfId="0" applyFont="1" applyBorder="1" applyAlignment="1">
      <alignment vertical="center" wrapText="1"/>
    </xf>
    <xf numFmtId="0" fontId="20" fillId="0" borderId="0" xfId="0" applyFont="1" applyBorder="1"/>
    <xf numFmtId="0" fontId="24" fillId="0" borderId="74" xfId="0" applyFont="1" applyBorder="1"/>
    <xf numFmtId="0" fontId="24" fillId="0" borderId="9" xfId="0" applyFont="1" applyBorder="1" applyAlignment="1">
      <alignment vertical="center" wrapText="1"/>
    </xf>
    <xf numFmtId="0" fontId="20" fillId="0" borderId="0" xfId="0" applyFont="1" applyFill="1" applyBorder="1"/>
    <xf numFmtId="0" fontId="24" fillId="0" borderId="74" xfId="0" applyFont="1" applyFill="1" applyBorder="1"/>
    <xf numFmtId="0" fontId="12" fillId="0" borderId="0" xfId="0" applyFont="1" applyFill="1" applyBorder="1" applyAlignment="1">
      <alignment horizontal="left" vertical="center"/>
    </xf>
    <xf numFmtId="0" fontId="24" fillId="5" borderId="0" xfId="0" applyFont="1" applyFill="1"/>
    <xf numFmtId="0" fontId="24" fillId="0" borderId="86" xfId="0" applyFont="1" applyFill="1" applyBorder="1" applyAlignment="1">
      <alignment vertical="center" wrapText="1"/>
    </xf>
    <xf numFmtId="0" fontId="20" fillId="0" borderId="52" xfId="0" applyFont="1" applyFill="1" applyBorder="1" applyAlignment="1">
      <alignment vertical="center" wrapText="1"/>
    </xf>
    <xf numFmtId="0" fontId="24" fillId="0" borderId="87" xfId="0" applyFont="1" applyFill="1" applyBorder="1" applyAlignment="1">
      <alignment vertical="center" wrapText="1"/>
    </xf>
    <xf numFmtId="0" fontId="24" fillId="0" borderId="79" xfId="0" applyFont="1" applyBorder="1" applyAlignment="1">
      <alignment vertical="center" wrapText="1"/>
    </xf>
    <xf numFmtId="0" fontId="24" fillId="0" borderId="85" xfId="0" applyFont="1" applyBorder="1" applyAlignment="1">
      <alignment vertical="center" wrapText="1"/>
    </xf>
    <xf numFmtId="0" fontId="24" fillId="0" borderId="80" xfId="0" applyFont="1" applyBorder="1" applyAlignment="1">
      <alignment vertical="center" wrapText="1"/>
    </xf>
    <xf numFmtId="0" fontId="24" fillId="0" borderId="88" xfId="0" applyFont="1" applyBorder="1" applyAlignment="1">
      <alignment vertical="center" wrapText="1"/>
    </xf>
    <xf numFmtId="0" fontId="24" fillId="0" borderId="89" xfId="0" applyFont="1" applyBorder="1" applyAlignment="1">
      <alignment vertical="center" wrapText="1"/>
    </xf>
    <xf numFmtId="0" fontId="24" fillId="0" borderId="90" xfId="0" applyFont="1" applyBorder="1" applyAlignment="1">
      <alignment vertical="center" wrapText="1"/>
    </xf>
    <xf numFmtId="0" fontId="24" fillId="0" borderId="91" xfId="0" applyFont="1" applyBorder="1" applyAlignment="1">
      <alignment vertical="center" wrapText="1"/>
    </xf>
    <xf numFmtId="0" fontId="24" fillId="0" borderId="4" xfId="0" applyFont="1" applyBorder="1" applyAlignment="1">
      <alignment vertical="center" wrapText="1"/>
    </xf>
    <xf numFmtId="0" fontId="20" fillId="0" borderId="62" xfId="0" applyFont="1" applyFill="1" applyBorder="1"/>
    <xf numFmtId="0" fontId="20" fillId="0" borderId="63" xfId="0" applyFont="1" applyFill="1" applyBorder="1"/>
    <xf numFmtId="173" fontId="27" fillId="5" borderId="77" xfId="0" applyNumberFormat="1" applyFont="1" applyFill="1" applyBorder="1" applyAlignment="1">
      <alignment horizontal="center"/>
    </xf>
    <xf numFmtId="0" fontId="27" fillId="0" borderId="64" xfId="0" applyFont="1" applyFill="1" applyBorder="1"/>
    <xf numFmtId="0" fontId="24" fillId="0" borderId="66" xfId="0" applyFont="1" applyFill="1" applyBorder="1" applyAlignment="1">
      <alignment wrapText="1"/>
    </xf>
    <xf numFmtId="0" fontId="33" fillId="0" borderId="73" xfId="0" applyFont="1" applyFill="1" applyBorder="1"/>
    <xf numFmtId="0" fontId="0" fillId="0" borderId="74" xfId="0" applyFill="1" applyBorder="1"/>
    <xf numFmtId="0" fontId="24" fillId="5" borderId="0" xfId="0" applyFont="1" applyFill="1" applyAlignment="1">
      <alignment horizontal="center"/>
    </xf>
    <xf numFmtId="0" fontId="24" fillId="5" borderId="27" xfId="0" applyFont="1" applyFill="1" applyBorder="1"/>
    <xf numFmtId="0" fontId="24" fillId="5" borderId="1" xfId="0" applyFont="1" applyFill="1" applyBorder="1"/>
    <xf numFmtId="0" fontId="0" fillId="0" borderId="0" xfId="0" applyBorder="1"/>
    <xf numFmtId="0" fontId="0" fillId="0" borderId="23" xfId="0" applyBorder="1"/>
    <xf numFmtId="0" fontId="24" fillId="0" borderId="92" xfId="0" applyFont="1" applyBorder="1" applyAlignment="1">
      <alignment vertical="center" wrapText="1"/>
    </xf>
    <xf numFmtId="0" fontId="11" fillId="6" borderId="13" xfId="0" applyFont="1" applyFill="1" applyBorder="1" applyAlignment="1">
      <alignment horizontal="center" vertical="center"/>
    </xf>
    <xf numFmtId="0" fontId="39" fillId="0" borderId="22" xfId="0" applyFont="1" applyBorder="1"/>
    <xf numFmtId="0" fontId="32" fillId="0" borderId="22" xfId="0" applyFont="1" applyBorder="1"/>
    <xf numFmtId="14" fontId="39" fillId="3" borderId="0" xfId="0" applyNumberFormat="1" applyFont="1" applyFill="1" applyBorder="1" applyAlignment="1">
      <alignment horizontal="center"/>
    </xf>
    <xf numFmtId="0" fontId="11" fillId="6" borderId="41" xfId="0" applyFont="1" applyFill="1" applyBorder="1" applyAlignment="1">
      <alignment horizontal="center"/>
    </xf>
    <xf numFmtId="0" fontId="12" fillId="6" borderId="30" xfId="0" applyFont="1" applyFill="1" applyBorder="1" applyAlignment="1">
      <alignment horizontal="right" vertical="center" wrapText="1"/>
    </xf>
    <xf numFmtId="0" fontId="22" fillId="6" borderId="40" xfId="0" applyFont="1" applyFill="1" applyBorder="1" applyAlignment="1">
      <alignment horizontal="center" vertical="center" wrapText="1"/>
    </xf>
    <xf numFmtId="0" fontId="22" fillId="6" borderId="47" xfId="0" applyFont="1" applyFill="1" applyBorder="1" applyAlignment="1">
      <alignment horizontal="center" vertical="center" wrapText="1"/>
    </xf>
    <xf numFmtId="167" fontId="15" fillId="0" borderId="0" xfId="0" applyNumberFormat="1" applyFont="1" applyFill="1" applyBorder="1" applyAlignment="1">
      <alignment horizontal="center"/>
    </xf>
    <xf numFmtId="167" fontId="15" fillId="0" borderId="22" xfId="0" applyNumberFormat="1" applyFont="1" applyFill="1" applyBorder="1" applyAlignment="1">
      <alignment horizontal="center"/>
    </xf>
    <xf numFmtId="167" fontId="15" fillId="0" borderId="23" xfId="0" applyNumberFormat="1" applyFont="1" applyFill="1" applyBorder="1" applyAlignment="1">
      <alignment horizontal="center"/>
    </xf>
    <xf numFmtId="1" fontId="19" fillId="0" borderId="14" xfId="0" applyNumberFormat="1" applyFont="1" applyBorder="1" applyAlignment="1">
      <alignment horizontal="right"/>
    </xf>
    <xf numFmtId="1" fontId="15" fillId="0" borderId="0" xfId="0" applyNumberFormat="1" applyFont="1" applyBorder="1" applyAlignment="1">
      <alignment horizontal="right"/>
    </xf>
    <xf numFmtId="1" fontId="19" fillId="0" borderId="0" xfId="0" applyNumberFormat="1" applyFont="1" applyBorder="1" applyAlignment="1">
      <alignment horizontal="right"/>
    </xf>
    <xf numFmtId="0" fontId="15" fillId="0" borderId="0" xfId="0" applyFont="1" applyBorder="1" applyAlignment="1">
      <alignment horizontal="right" wrapText="1"/>
    </xf>
    <xf numFmtId="0" fontId="11" fillId="6" borderId="22" xfId="0" applyFont="1" applyFill="1" applyBorder="1" applyAlignment="1">
      <alignment horizontal="center" vertical="center" wrapText="1"/>
    </xf>
    <xf numFmtId="14" fontId="11" fillId="6" borderId="23" xfId="0" applyNumberFormat="1" applyFont="1" applyFill="1" applyBorder="1" applyAlignment="1">
      <alignment horizontal="center" vertical="center"/>
    </xf>
    <xf numFmtId="0" fontId="12" fillId="6" borderId="93" xfId="0" applyFont="1" applyFill="1" applyBorder="1" applyAlignment="1">
      <alignment horizontal="right" vertical="center" wrapText="1"/>
    </xf>
    <xf numFmtId="0" fontId="12" fillId="6" borderId="52" xfId="0" applyFont="1" applyFill="1" applyBorder="1" applyAlignment="1">
      <alignment horizontal="right" vertical="center" wrapText="1"/>
    </xf>
    <xf numFmtId="0" fontId="12" fillId="6" borderId="53" xfId="0" applyFont="1" applyFill="1" applyBorder="1" applyAlignment="1">
      <alignment horizontal="right" vertical="center" wrapText="1"/>
    </xf>
    <xf numFmtId="14" fontId="24" fillId="0" borderId="15" xfId="0" applyNumberFormat="1" applyFont="1" applyBorder="1" applyAlignment="1">
      <alignment horizontal="center"/>
    </xf>
    <xf numFmtId="164" fontId="24" fillId="0" borderId="13" xfId="0" applyNumberFormat="1" applyFont="1" applyFill="1" applyBorder="1"/>
    <xf numFmtId="164" fontId="24" fillId="0" borderId="14" xfId="0" applyNumberFormat="1" applyFont="1" applyBorder="1"/>
    <xf numFmtId="0" fontId="24" fillId="0" borderId="44" xfId="0" applyFont="1" applyFill="1" applyBorder="1"/>
    <xf numFmtId="0" fontId="24" fillId="0" borderId="44" xfId="0" applyFont="1" applyFill="1" applyBorder="1" applyAlignment="1">
      <alignment wrapText="1"/>
    </xf>
    <xf numFmtId="14" fontId="24" fillId="0" borderId="46" xfId="0" applyNumberFormat="1" applyFont="1" applyFill="1" applyBorder="1" applyAlignment="1">
      <alignment horizontal="center"/>
    </xf>
    <xf numFmtId="164" fontId="24" fillId="0" borderId="44" xfId="0" applyNumberFormat="1" applyFont="1" applyFill="1" applyBorder="1"/>
    <xf numFmtId="164" fontId="24" fillId="0" borderId="45" xfId="0" applyNumberFormat="1" applyFont="1" applyBorder="1"/>
    <xf numFmtId="3" fontId="24" fillId="0" borderId="45" xfId="0" applyNumberFormat="1" applyFont="1" applyFill="1" applyBorder="1"/>
    <xf numFmtId="164" fontId="24" fillId="0" borderId="46" xfId="0" applyNumberFormat="1" applyFont="1" applyBorder="1"/>
    <xf numFmtId="164" fontId="24" fillId="0" borderId="45" xfId="0" applyNumberFormat="1" applyFont="1" applyFill="1" applyBorder="1"/>
    <xf numFmtId="164" fontId="24" fillId="0" borderId="46" xfId="0" applyNumberFormat="1" applyFont="1" applyFill="1" applyBorder="1"/>
    <xf numFmtId="0" fontId="24" fillId="0" borderId="55" xfId="0" applyFont="1" applyFill="1" applyBorder="1"/>
    <xf numFmtId="0" fontId="24" fillId="0" borderId="94" xfId="0" applyFont="1" applyFill="1" applyBorder="1" applyAlignment="1">
      <alignment vertical="center" wrapText="1"/>
    </xf>
    <xf numFmtId="0" fontId="24" fillId="0" borderId="96" xfId="0" applyFont="1" applyBorder="1" applyAlignment="1">
      <alignment vertical="center" wrapText="1"/>
    </xf>
    <xf numFmtId="0" fontId="24" fillId="0" borderId="95" xfId="0" quotePrefix="1" applyFont="1" applyFill="1" applyBorder="1" applyAlignment="1">
      <alignment vertical="center" wrapText="1"/>
    </xf>
    <xf numFmtId="0" fontId="20" fillId="0" borderId="97" xfId="0" applyFont="1" applyFill="1" applyBorder="1"/>
    <xf numFmtId="173" fontId="24" fillId="5" borderId="97" xfId="0" applyNumberFormat="1" applyFont="1" applyFill="1" applyBorder="1" applyAlignment="1">
      <alignment horizontal="center"/>
    </xf>
    <xf numFmtId="0" fontId="24" fillId="0" borderId="98" xfId="0" applyFont="1" applyBorder="1" applyAlignment="1">
      <alignment vertical="center" wrapText="1"/>
    </xf>
    <xf numFmtId="0" fontId="27" fillId="0" borderId="97" xfId="0" applyFont="1" applyFill="1" applyBorder="1"/>
    <xf numFmtId="0" fontId="0" fillId="0" borderId="65" xfId="0" applyBorder="1"/>
    <xf numFmtId="0" fontId="20" fillId="0" borderId="99" xfId="0" applyFont="1" applyFill="1" applyBorder="1"/>
    <xf numFmtId="0" fontId="0" fillId="0" borderId="100" xfId="0" applyBorder="1"/>
    <xf numFmtId="164" fontId="0" fillId="0" borderId="100" xfId="0" applyNumberFormat="1" applyBorder="1"/>
    <xf numFmtId="3" fontId="0" fillId="0" borderId="0" xfId="0" applyNumberFormat="1" applyBorder="1"/>
    <xf numFmtId="164" fontId="0" fillId="0" borderId="0" xfId="0" applyNumberFormat="1" applyBorder="1"/>
    <xf numFmtId="0" fontId="0" fillId="0" borderId="45" xfId="0" applyBorder="1" applyAlignment="1">
      <alignment horizontal="center"/>
    </xf>
    <xf numFmtId="0" fontId="0" fillId="0" borderId="45" xfId="0" applyBorder="1"/>
    <xf numFmtId="3" fontId="0" fillId="0" borderId="45" xfId="0" applyNumberFormat="1" applyBorder="1"/>
    <xf numFmtId="0" fontId="0" fillId="0" borderId="15" xfId="0" applyBorder="1"/>
    <xf numFmtId="0" fontId="0" fillId="0" borderId="1" xfId="0" applyBorder="1"/>
    <xf numFmtId="3" fontId="0" fillId="0" borderId="1" xfId="0" applyNumberFormat="1" applyBorder="1"/>
    <xf numFmtId="0" fontId="0" fillId="0" borderId="26" xfId="0" applyBorder="1"/>
    <xf numFmtId="0" fontId="2" fillId="0" borderId="103" xfId="0" applyFont="1" applyBorder="1" applyAlignment="1">
      <alignment horizontal="center"/>
    </xf>
    <xf numFmtId="175" fontId="0" fillId="0" borderId="100" xfId="0" applyNumberFormat="1" applyBorder="1"/>
    <xf numFmtId="164" fontId="24" fillId="0" borderId="44" xfId="0" applyNumberFormat="1" applyFont="1" applyFill="1" applyBorder="1" applyAlignment="1">
      <alignment horizontal="right"/>
    </xf>
    <xf numFmtId="164" fontId="24" fillId="0" borderId="46" xfId="0" applyNumberFormat="1" applyFont="1" applyFill="1" applyBorder="1" applyAlignment="1">
      <alignment horizontal="right"/>
    </xf>
    <xf numFmtId="0" fontId="5" fillId="0" borderId="91" xfId="1" applyBorder="1" applyAlignment="1" applyProtection="1">
      <alignment vertical="center" wrapText="1"/>
    </xf>
    <xf numFmtId="176" fontId="0" fillId="0" borderId="0" xfId="0" applyNumberFormat="1"/>
    <xf numFmtId="164" fontId="2" fillId="0" borderId="101" xfId="0" applyNumberFormat="1" applyFont="1" applyBorder="1" applyAlignment="1">
      <alignment horizontal="right"/>
    </xf>
    <xf numFmtId="0" fontId="2" fillId="0" borderId="100" xfId="0" applyFont="1" applyBorder="1" applyAlignment="1">
      <alignment horizontal="right"/>
    </xf>
    <xf numFmtId="0" fontId="0" fillId="0" borderId="103" xfId="0" applyBorder="1" applyAlignment="1">
      <alignment horizontal="center"/>
    </xf>
    <xf numFmtId="0" fontId="36" fillId="0" borderId="23" xfId="0" applyFont="1" applyBorder="1"/>
    <xf numFmtId="0" fontId="2" fillId="0" borderId="101" xfId="0" applyFont="1" applyBorder="1" applyAlignment="1"/>
    <xf numFmtId="164" fontId="2" fillId="0" borderId="101" xfId="0" applyNumberFormat="1" applyFont="1" applyBorder="1" applyAlignment="1"/>
    <xf numFmtId="0" fontId="0" fillId="0" borderId="0" xfId="0" applyBorder="1" applyAlignment="1"/>
    <xf numFmtId="0" fontId="0" fillId="0" borderId="100" xfId="0" applyBorder="1" applyAlignment="1"/>
    <xf numFmtId="0" fontId="2" fillId="0" borderId="100" xfId="0" applyFont="1" applyBorder="1" applyAlignment="1"/>
    <xf numFmtId="0" fontId="2" fillId="0" borderId="100" xfId="0" applyFont="1" applyBorder="1" applyAlignment="1">
      <alignment horizontal="right"/>
    </xf>
    <xf numFmtId="164" fontId="2" fillId="0" borderId="101" xfId="0" applyNumberFormat="1" applyFont="1" applyBorder="1" applyAlignment="1">
      <alignment horizontal="right"/>
    </xf>
    <xf numFmtId="0" fontId="0" fillId="0" borderId="100" xfId="0" applyBorder="1" applyAlignment="1">
      <alignment horizontal="right"/>
    </xf>
    <xf numFmtId="0" fontId="2" fillId="0" borderId="101" xfId="0" applyFont="1" applyBorder="1" applyAlignment="1">
      <alignment horizontal="right"/>
    </xf>
    <xf numFmtId="3" fontId="53" fillId="0" borderId="0" xfId="0" applyNumberFormat="1" applyFont="1" applyBorder="1" applyAlignment="1">
      <alignment horizontal="right"/>
    </xf>
    <xf numFmtId="164" fontId="53" fillId="0" borderId="0" xfId="0" applyNumberFormat="1" applyFont="1" applyBorder="1"/>
    <xf numFmtId="0" fontId="53" fillId="0" borderId="0" xfId="0" applyFont="1" applyBorder="1" applyAlignment="1">
      <alignment horizontal="right"/>
    </xf>
    <xf numFmtId="164" fontId="53" fillId="0" borderId="23" xfId="0" applyNumberFormat="1" applyFont="1" applyBorder="1"/>
    <xf numFmtId="0" fontId="53" fillId="0" borderId="23" xfId="0" applyFont="1" applyBorder="1" applyAlignment="1">
      <alignment horizontal="right"/>
    </xf>
    <xf numFmtId="0" fontId="51" fillId="0" borderId="13" xfId="0" applyFont="1" applyBorder="1" applyAlignment="1">
      <alignment horizontal="left"/>
    </xf>
    <xf numFmtId="0" fontId="0" fillId="0" borderId="14" xfId="0" applyBorder="1"/>
    <xf numFmtId="3" fontId="0" fillId="0" borderId="14" xfId="0" applyNumberFormat="1" applyBorder="1"/>
    <xf numFmtId="0" fontId="7" fillId="0" borderId="22" xfId="0" applyFont="1" applyBorder="1" applyAlignment="1">
      <alignment horizontal="left"/>
    </xf>
    <xf numFmtId="0" fontId="52" fillId="0" borderId="22" xfId="0" applyFont="1" applyBorder="1" applyAlignment="1">
      <alignment horizontal="left"/>
    </xf>
    <xf numFmtId="0" fontId="0" fillId="0" borderId="22" xfId="0" applyBorder="1" applyAlignment="1">
      <alignment horizontal="center"/>
    </xf>
    <xf numFmtId="0" fontId="0" fillId="0" borderId="104" xfId="0" applyBorder="1" applyAlignment="1">
      <alignment horizontal="center"/>
    </xf>
    <xf numFmtId="0" fontId="2" fillId="0" borderId="105" xfId="0" applyFont="1" applyBorder="1" applyAlignment="1">
      <alignment horizontal="right"/>
    </xf>
    <xf numFmtId="0" fontId="2" fillId="0" borderId="104" xfId="0" applyFont="1" applyBorder="1" applyAlignment="1">
      <alignment horizontal="center"/>
    </xf>
    <xf numFmtId="164" fontId="0" fillId="0" borderId="105" xfId="0" applyNumberFormat="1" applyBorder="1"/>
    <xf numFmtId="0" fontId="0" fillId="0" borderId="105" xfId="0" applyBorder="1"/>
    <xf numFmtId="0" fontId="0" fillId="0" borderId="27" xfId="0" applyBorder="1" applyAlignment="1">
      <alignment horizontal="center"/>
    </xf>
    <xf numFmtId="164" fontId="53" fillId="0" borderId="106" xfId="0" applyNumberFormat="1" applyFont="1" applyBorder="1" applyAlignment="1">
      <alignment horizontal="right"/>
    </xf>
    <xf numFmtId="0" fontId="53" fillId="0" borderId="106" xfId="0" applyFont="1" applyBorder="1" applyAlignment="1"/>
    <xf numFmtId="164" fontId="2" fillId="0" borderId="101" xfId="0" applyNumberFormat="1" applyFont="1" applyBorder="1" applyAlignment="1">
      <alignment horizontal="right"/>
    </xf>
    <xf numFmtId="0" fontId="12" fillId="6" borderId="55" xfId="0" applyFont="1" applyFill="1" applyBorder="1" applyAlignment="1">
      <alignment vertical="center"/>
    </xf>
    <xf numFmtId="165" fontId="24" fillId="0" borderId="55" xfId="0" applyNumberFormat="1" applyFont="1" applyFill="1" applyBorder="1" applyAlignment="1">
      <alignment horizontal="center" vertical="center"/>
    </xf>
    <xf numFmtId="3" fontId="24" fillId="0" borderId="0" xfId="0" applyNumberFormat="1" applyFont="1" applyFill="1" applyBorder="1" applyAlignment="1">
      <alignment horizontal="center" vertical="center"/>
    </xf>
    <xf numFmtId="8" fontId="24" fillId="0" borderId="0" xfId="0" applyNumberFormat="1" applyFont="1" applyBorder="1" applyAlignment="1">
      <alignment vertical="center"/>
    </xf>
    <xf numFmtId="3" fontId="24" fillId="5" borderId="0" xfId="0" applyNumberFormat="1" applyFont="1" applyFill="1" applyBorder="1" applyAlignment="1">
      <alignment horizontal="center" vertical="center"/>
    </xf>
    <xf numFmtId="0" fontId="24" fillId="0" borderId="22" xfId="0" applyFont="1" applyBorder="1" applyAlignment="1">
      <alignment vertical="center"/>
    </xf>
    <xf numFmtId="0" fontId="19" fillId="0" borderId="13" xfId="0" applyFont="1" applyBorder="1" applyAlignment="1">
      <alignment vertical="center"/>
    </xf>
    <xf numFmtId="0" fontId="24" fillId="0" borderId="0" xfId="0" applyFont="1" applyFill="1" applyBorder="1" applyAlignment="1">
      <alignment horizontal="center"/>
    </xf>
    <xf numFmtId="3" fontId="24" fillId="0" borderId="0" xfId="0" applyNumberFormat="1" applyFont="1" applyFill="1" applyBorder="1" applyAlignment="1">
      <alignment horizontal="right"/>
    </xf>
    <xf numFmtId="164" fontId="24" fillId="0" borderId="0" xfId="0" applyNumberFormat="1" applyFont="1" applyFill="1" applyBorder="1" applyAlignment="1">
      <alignment horizontal="right"/>
    </xf>
    <xf numFmtId="164" fontId="24" fillId="0" borderId="23" xfId="0" applyNumberFormat="1" applyFont="1" applyFill="1" applyBorder="1" applyAlignment="1">
      <alignment horizontal="right"/>
    </xf>
    <xf numFmtId="0" fontId="2" fillId="0" borderId="100" xfId="0" applyFont="1" applyBorder="1" applyAlignment="1">
      <alignment horizontal="right"/>
    </xf>
    <xf numFmtId="0" fontId="2" fillId="0" borderId="101" xfId="0" applyFont="1" applyBorder="1" applyAlignment="1">
      <alignment horizontal="right"/>
    </xf>
    <xf numFmtId="0" fontId="14" fillId="6" borderId="62" xfId="0" applyFont="1" applyFill="1" applyBorder="1" applyAlignment="1">
      <alignment horizontal="left" vertical="center"/>
    </xf>
    <xf numFmtId="0" fontId="14" fillId="6" borderId="63" xfId="0" applyFont="1" applyFill="1" applyBorder="1" applyAlignment="1">
      <alignment horizontal="left" vertical="center"/>
    </xf>
    <xf numFmtId="0" fontId="14" fillId="6" borderId="64" xfId="0" applyFont="1" applyFill="1" applyBorder="1" applyAlignment="1">
      <alignment horizontal="left" vertical="center"/>
    </xf>
    <xf numFmtId="0" fontId="12" fillId="6" borderId="65" xfId="0" applyFont="1" applyFill="1" applyBorder="1" applyAlignment="1">
      <alignment horizontal="left" vertical="center"/>
    </xf>
    <xf numFmtId="0" fontId="12" fillId="6" borderId="0" xfId="0" applyFont="1" applyFill="1" applyBorder="1" applyAlignment="1">
      <alignment horizontal="left" vertical="center"/>
    </xf>
    <xf numFmtId="0" fontId="12" fillId="6" borderId="66" xfId="0" applyFont="1" applyFill="1" applyBorder="1" applyAlignment="1">
      <alignment horizontal="left" vertical="center"/>
    </xf>
    <xf numFmtId="0" fontId="12" fillId="6" borderId="73" xfId="0" applyFont="1" applyFill="1" applyBorder="1" applyAlignment="1">
      <alignment horizontal="left" vertical="center"/>
    </xf>
    <xf numFmtId="0" fontId="12" fillId="6" borderId="74" xfId="0" applyFont="1" applyFill="1" applyBorder="1" applyAlignment="1">
      <alignment horizontal="left" vertical="center"/>
    </xf>
    <xf numFmtId="0" fontId="12" fillId="6" borderId="75" xfId="0" applyFont="1" applyFill="1" applyBorder="1" applyAlignment="1">
      <alignment horizontal="left" vertical="center"/>
    </xf>
    <xf numFmtId="0" fontId="14" fillId="6" borderId="76" xfId="0" applyFont="1" applyFill="1" applyBorder="1" applyAlignment="1">
      <alignment horizontal="left" vertical="center"/>
    </xf>
    <xf numFmtId="0" fontId="14" fillId="6" borderId="77" xfId="0" applyFont="1" applyFill="1" applyBorder="1" applyAlignment="1">
      <alignment horizontal="left" vertical="center"/>
    </xf>
    <xf numFmtId="0" fontId="14" fillId="6" borderId="78" xfId="0" applyFont="1" applyFill="1" applyBorder="1" applyAlignment="1">
      <alignment horizontal="left" vertical="center"/>
    </xf>
    <xf numFmtId="0" fontId="20" fillId="0" borderId="62" xfId="0" applyFont="1" applyFill="1" applyBorder="1" applyAlignment="1">
      <alignment horizontal="left" vertical="center" wrapText="1"/>
    </xf>
    <xf numFmtId="0" fontId="20" fillId="0" borderId="63" xfId="0" applyFont="1" applyFill="1" applyBorder="1" applyAlignment="1">
      <alignment horizontal="left" vertical="center" wrapText="1"/>
    </xf>
    <xf numFmtId="0" fontId="20" fillId="0" borderId="64" xfId="0" applyFont="1" applyFill="1" applyBorder="1" applyAlignment="1">
      <alignment horizontal="left" vertical="center" wrapText="1"/>
    </xf>
    <xf numFmtId="0" fontId="14" fillId="6" borderId="62" xfId="0" applyFont="1" applyFill="1" applyBorder="1" applyAlignment="1">
      <alignment horizontal="left" vertical="top" wrapText="1"/>
    </xf>
    <xf numFmtId="0" fontId="14" fillId="6" borderId="63" xfId="0" applyFont="1" applyFill="1" applyBorder="1" applyAlignment="1">
      <alignment horizontal="left" vertical="top" wrapText="1"/>
    </xf>
    <xf numFmtId="0" fontId="14" fillId="6" borderId="64" xfId="0" applyFont="1" applyFill="1" applyBorder="1" applyAlignment="1">
      <alignment horizontal="left" vertical="top" wrapText="1"/>
    </xf>
    <xf numFmtId="0" fontId="7" fillId="0" borderId="0" xfId="0" applyFont="1" applyBorder="1" applyAlignment="1">
      <alignment horizontal="left" vertical="top" wrapText="1"/>
    </xf>
    <xf numFmtId="164" fontId="2" fillId="0" borderId="100" xfId="0" applyNumberFormat="1" applyFont="1" applyBorder="1" applyAlignment="1">
      <alignment horizontal="right"/>
    </xf>
    <xf numFmtId="0" fontId="22" fillId="6" borderId="40" xfId="0" applyFont="1" applyFill="1" applyBorder="1" applyAlignment="1">
      <alignment horizontal="center" vertical="center" wrapText="1"/>
    </xf>
    <xf numFmtId="0" fontId="22" fillId="6" borderId="47" xfId="0" applyFont="1" applyFill="1" applyBorder="1" applyAlignment="1">
      <alignment horizontal="center" vertical="center" wrapText="1"/>
    </xf>
    <xf numFmtId="167" fontId="19" fillId="0" borderId="13" xfId="0" applyNumberFormat="1" applyFont="1" applyBorder="1" applyAlignment="1">
      <alignment horizontal="center"/>
    </xf>
    <xf numFmtId="167" fontId="19" fillId="0" borderId="14" xfId="0" applyNumberFormat="1" applyFont="1" applyBorder="1" applyAlignment="1">
      <alignment horizontal="center"/>
    </xf>
    <xf numFmtId="167" fontId="19" fillId="0" borderId="15" xfId="0" applyNumberFormat="1" applyFont="1" applyBorder="1" applyAlignment="1">
      <alignment horizontal="center"/>
    </xf>
    <xf numFmtId="0" fontId="20" fillId="0" borderId="0" xfId="0" applyFont="1" applyBorder="1" applyAlignment="1">
      <alignment horizontal="center"/>
    </xf>
    <xf numFmtId="0" fontId="22" fillId="6" borderId="48" xfId="0" applyFont="1" applyFill="1" applyBorder="1" applyAlignment="1">
      <alignment horizontal="center" vertical="center" wrapText="1"/>
    </xf>
    <xf numFmtId="0" fontId="22" fillId="6" borderId="41" xfId="0" applyFont="1" applyFill="1" applyBorder="1" applyAlignment="1">
      <alignment horizontal="center" vertical="center" wrapText="1"/>
    </xf>
    <xf numFmtId="0" fontId="22" fillId="6" borderId="49" xfId="0" applyFont="1" applyFill="1" applyBorder="1" applyAlignment="1">
      <alignment horizontal="center" vertical="center" wrapText="1"/>
    </xf>
    <xf numFmtId="0" fontId="22" fillId="6" borderId="50" xfId="0" applyFont="1" applyFill="1" applyBorder="1" applyAlignment="1">
      <alignment horizontal="center" vertical="center" wrapText="1"/>
    </xf>
    <xf numFmtId="0" fontId="22" fillId="6" borderId="51" xfId="0" applyFont="1" applyFill="1" applyBorder="1" applyAlignment="1">
      <alignment horizontal="center" vertical="center" wrapText="1"/>
    </xf>
    <xf numFmtId="0" fontId="22" fillId="6" borderId="52" xfId="0" applyFont="1" applyFill="1" applyBorder="1" applyAlignment="1">
      <alignment horizontal="center" vertical="center" wrapText="1"/>
    </xf>
    <xf numFmtId="10" fontId="22" fillId="6" borderId="52" xfId="0" applyNumberFormat="1" applyFont="1" applyFill="1" applyBorder="1" applyAlignment="1">
      <alignment horizontal="center" vertical="center" wrapText="1"/>
    </xf>
    <xf numFmtId="10" fontId="22" fillId="6" borderId="50" xfId="0" applyNumberFormat="1" applyFont="1" applyFill="1" applyBorder="1" applyAlignment="1">
      <alignment horizontal="center" vertical="center" wrapText="1"/>
    </xf>
    <xf numFmtId="10" fontId="22" fillId="6" borderId="51" xfId="0" applyNumberFormat="1" applyFont="1" applyFill="1" applyBorder="1" applyAlignment="1">
      <alignment horizontal="center" vertical="center" wrapText="1"/>
    </xf>
    <xf numFmtId="10" fontId="22" fillId="6" borderId="53" xfId="0" applyNumberFormat="1" applyFont="1" applyFill="1" applyBorder="1" applyAlignment="1">
      <alignment horizontal="center" vertical="center" wrapText="1"/>
    </xf>
    <xf numFmtId="10" fontId="22" fillId="6" borderId="54" xfId="0" applyNumberFormat="1" applyFont="1" applyFill="1" applyBorder="1" applyAlignment="1">
      <alignment horizontal="center" vertical="center" wrapText="1"/>
    </xf>
    <xf numFmtId="10" fontId="22" fillId="6" borderId="30" xfId="0" applyNumberFormat="1" applyFont="1" applyFill="1" applyBorder="1" applyAlignment="1">
      <alignment horizontal="center" vertical="center" wrapText="1"/>
    </xf>
    <xf numFmtId="167" fontId="19" fillId="0" borderId="13" xfId="0" applyNumberFormat="1" applyFont="1" applyFill="1" applyBorder="1" applyAlignment="1">
      <alignment horizontal="center"/>
    </xf>
    <xf numFmtId="167" fontId="19" fillId="0" borderId="14" xfId="0" applyNumberFormat="1" applyFont="1" applyFill="1" applyBorder="1" applyAlignment="1">
      <alignment horizontal="center"/>
    </xf>
    <xf numFmtId="167" fontId="19" fillId="0" borderId="15" xfId="0" applyNumberFormat="1" applyFont="1" applyFill="1" applyBorder="1" applyAlignment="1">
      <alignment horizontal="center"/>
    </xf>
    <xf numFmtId="164" fontId="2" fillId="0" borderId="101" xfId="0" applyNumberFormat="1" applyFont="1" applyBorder="1" applyAlignment="1">
      <alignment horizontal="right"/>
    </xf>
    <xf numFmtId="0" fontId="2" fillId="0" borderId="103" xfId="0" applyFont="1" applyBorder="1" applyAlignment="1">
      <alignment horizontal="right"/>
    </xf>
    <xf numFmtId="0" fontId="2" fillId="0" borderId="101" xfId="0" applyFont="1" applyBorder="1" applyAlignment="1">
      <alignment horizontal="center"/>
    </xf>
    <xf numFmtId="0" fontId="0" fillId="0" borderId="102" xfId="0" applyBorder="1" applyAlignment="1">
      <alignment horizontal="center"/>
    </xf>
    <xf numFmtId="0" fontId="0" fillId="0" borderId="103" xfId="0" applyBorder="1" applyAlignment="1">
      <alignment horizontal="center"/>
    </xf>
    <xf numFmtId="0" fontId="0" fillId="0" borderId="101" xfId="0" applyBorder="1" applyAlignment="1">
      <alignment horizontal="center"/>
    </xf>
    <xf numFmtId="0" fontId="0" fillId="0" borderId="100" xfId="0" applyBorder="1" applyAlignment="1">
      <alignment horizontal="right"/>
    </xf>
    <xf numFmtId="164" fontId="0" fillId="0" borderId="100" xfId="0" applyNumberFormat="1" applyBorder="1" applyAlignment="1">
      <alignment horizontal="right"/>
    </xf>
    <xf numFmtId="3" fontId="0" fillId="0" borderId="100" xfId="0" applyNumberFormat="1" applyBorder="1" applyAlignment="1">
      <alignment horizontal="right"/>
    </xf>
    <xf numFmtId="164" fontId="2" fillId="0" borderId="0" xfId="0" applyNumberFormat="1" applyFont="1" applyBorder="1" applyAlignment="1">
      <alignment horizontal="right"/>
    </xf>
    <xf numFmtId="164" fontId="53" fillId="0" borderId="0" xfId="0" applyNumberFormat="1" applyFont="1" applyBorder="1" applyAlignment="1">
      <alignment horizontal="right"/>
    </xf>
    <xf numFmtId="0" fontId="53" fillId="0" borderId="0" xfId="0" applyFont="1" applyBorder="1" applyAlignment="1">
      <alignment horizontal="right"/>
    </xf>
    <xf numFmtId="3" fontId="2" fillId="0" borderId="101" xfId="0" applyNumberFormat="1" applyFont="1" applyBorder="1" applyAlignment="1">
      <alignment horizontal="right"/>
    </xf>
    <xf numFmtId="174" fontId="2" fillId="0" borderId="101" xfId="0" applyNumberFormat="1" applyFont="1" applyBorder="1" applyAlignment="1">
      <alignment horizontal="right"/>
    </xf>
    <xf numFmtId="174" fontId="2" fillId="0" borderId="103" xfId="0" applyNumberFormat="1" applyFont="1" applyBorder="1" applyAlignment="1">
      <alignment horizontal="right"/>
    </xf>
    <xf numFmtId="175" fontId="2" fillId="0" borderId="101" xfId="0" applyNumberFormat="1" applyFont="1" applyBorder="1" applyAlignment="1">
      <alignment horizontal="right"/>
    </xf>
    <xf numFmtId="175" fontId="2" fillId="0" borderId="103" xfId="0" applyNumberFormat="1" applyFont="1" applyBorder="1" applyAlignment="1">
      <alignment horizontal="right"/>
    </xf>
    <xf numFmtId="0" fontId="12" fillId="6" borderId="13" xfId="0" applyFont="1" applyFill="1" applyBorder="1" applyAlignment="1">
      <alignment wrapText="1"/>
    </xf>
    <xf numFmtId="0" fontId="12" fillId="6" borderId="14" xfId="0" applyFont="1" applyFill="1" applyBorder="1" applyAlignment="1">
      <alignment wrapText="1"/>
    </xf>
    <xf numFmtId="0" fontId="12" fillId="6" borderId="15" xfId="0" applyFont="1" applyFill="1" applyBorder="1" applyAlignment="1">
      <alignment wrapText="1"/>
    </xf>
    <xf numFmtId="0" fontId="12" fillId="6" borderId="22" xfId="0" applyFont="1" applyFill="1" applyBorder="1" applyAlignment="1">
      <alignment wrapText="1"/>
    </xf>
    <xf numFmtId="0" fontId="12" fillId="6" borderId="0" xfId="0" applyFont="1" applyFill="1" applyBorder="1" applyAlignment="1">
      <alignment wrapText="1"/>
    </xf>
    <xf numFmtId="0" fontId="12" fillId="6" borderId="23" xfId="0" applyFont="1" applyFill="1" applyBorder="1" applyAlignment="1">
      <alignment wrapText="1"/>
    </xf>
    <xf numFmtId="0" fontId="12" fillId="6" borderId="27" xfId="0" applyFont="1" applyFill="1" applyBorder="1" applyAlignment="1">
      <alignment wrapText="1"/>
    </xf>
    <xf numFmtId="0" fontId="12" fillId="6" borderId="1" xfId="0" applyFont="1" applyFill="1" applyBorder="1" applyAlignment="1">
      <alignment wrapText="1"/>
    </xf>
    <xf numFmtId="0" fontId="12" fillId="6" borderId="26" xfId="0" applyFont="1" applyFill="1" applyBorder="1" applyAlignment="1">
      <alignment wrapText="1"/>
    </xf>
    <xf numFmtId="0" fontId="12" fillId="6" borderId="22" xfId="0" applyFont="1" applyFill="1" applyBorder="1" applyAlignment="1">
      <alignment horizontal="center" wrapText="1"/>
    </xf>
    <xf numFmtId="0" fontId="12" fillId="6" borderId="0" xfId="0" applyFont="1" applyFill="1" applyBorder="1" applyAlignment="1">
      <alignment horizontal="center" wrapText="1"/>
    </xf>
    <xf numFmtId="0" fontId="12" fillId="6" borderId="23" xfId="0" applyFont="1" applyFill="1" applyBorder="1" applyAlignment="1">
      <alignment horizontal="center" wrapText="1"/>
    </xf>
    <xf numFmtId="0" fontId="12" fillId="6" borderId="27" xfId="0" applyFont="1" applyFill="1" applyBorder="1" applyAlignment="1">
      <alignment horizontal="center" wrapText="1"/>
    </xf>
    <xf numFmtId="0" fontId="12" fillId="6" borderId="1" xfId="0" applyFont="1" applyFill="1" applyBorder="1" applyAlignment="1">
      <alignment horizontal="center" wrapText="1"/>
    </xf>
    <xf numFmtId="0" fontId="12" fillId="6" borderId="26" xfId="0" applyFont="1" applyFill="1" applyBorder="1" applyAlignment="1">
      <alignment horizontal="center" wrapText="1"/>
    </xf>
    <xf numFmtId="0" fontId="2" fillId="0" borderId="101" xfId="0" applyFont="1" applyBorder="1" applyAlignment="1">
      <alignment horizontal="left"/>
    </xf>
    <xf numFmtId="0" fontId="2" fillId="0" borderId="103" xfId="0" applyFont="1" applyBorder="1" applyAlignment="1">
      <alignment horizontal="left"/>
    </xf>
    <xf numFmtId="0" fontId="14" fillId="6" borderId="13" xfId="0" applyFont="1" applyFill="1" applyBorder="1" applyAlignment="1">
      <alignment horizontal="left" vertical="center"/>
    </xf>
    <xf numFmtId="0" fontId="14" fillId="6" borderId="14" xfId="0" applyFont="1" applyFill="1" applyBorder="1" applyAlignment="1">
      <alignment horizontal="left" vertical="center"/>
    </xf>
    <xf numFmtId="0" fontId="14" fillId="6" borderId="15" xfId="0" applyFont="1" applyFill="1" applyBorder="1" applyAlignment="1">
      <alignment horizontal="left" vertical="center"/>
    </xf>
    <xf numFmtId="0" fontId="24" fillId="0" borderId="22" xfId="0" applyFont="1" applyBorder="1" applyAlignment="1">
      <alignment horizontal="left" vertical="center" wrapText="1"/>
    </xf>
    <xf numFmtId="0" fontId="24" fillId="0" borderId="0" xfId="0" applyFont="1" applyBorder="1" applyAlignment="1">
      <alignment horizontal="left" vertical="center" wrapText="1"/>
    </xf>
    <xf numFmtId="0" fontId="24" fillId="0" borderId="23" xfId="0" applyFont="1" applyBorder="1" applyAlignment="1">
      <alignment horizontal="left" vertical="center" wrapText="1"/>
    </xf>
    <xf numFmtId="165" fontId="24" fillId="0" borderId="33" xfId="0" applyNumberFormat="1" applyFont="1" applyFill="1" applyBorder="1" applyAlignment="1">
      <alignment horizontal="center"/>
    </xf>
    <xf numFmtId="165" fontId="24" fillId="0" borderId="55" xfId="0" applyNumberFormat="1" applyFont="1" applyFill="1" applyBorder="1" applyAlignment="1">
      <alignment horizontal="center"/>
    </xf>
    <xf numFmtId="0" fontId="36" fillId="0" borderId="0" xfId="0" applyFont="1" applyBorder="1" applyAlignment="1">
      <alignment horizontal="left" vertical="top" wrapText="1"/>
    </xf>
    <xf numFmtId="0" fontId="36" fillId="0" borderId="23" xfId="0" applyFont="1" applyBorder="1" applyAlignment="1">
      <alignment horizontal="left" vertical="top" wrapText="1"/>
    </xf>
    <xf numFmtId="165" fontId="24" fillId="0" borderId="44" xfId="0" applyNumberFormat="1" applyFont="1" applyFill="1" applyBorder="1" applyAlignment="1">
      <alignment horizontal="center" vertical="center"/>
    </xf>
    <xf numFmtId="165" fontId="24" fillId="0" borderId="45" xfId="0" applyNumberFormat="1" applyFont="1" applyFill="1" applyBorder="1" applyAlignment="1">
      <alignment horizontal="center" vertical="center"/>
    </xf>
    <xf numFmtId="165" fontId="24" fillId="0" borderId="46" xfId="0" applyNumberFormat="1" applyFont="1" applyFill="1" applyBorder="1" applyAlignment="1">
      <alignment horizontal="center" vertical="center"/>
    </xf>
    <xf numFmtId="0" fontId="48" fillId="6" borderId="44" xfId="0" applyFont="1" applyFill="1" applyBorder="1" applyAlignment="1">
      <alignment horizontal="left"/>
    </xf>
    <xf numFmtId="0" fontId="48" fillId="6" borderId="45" xfId="0" applyFont="1" applyFill="1" applyBorder="1" applyAlignment="1">
      <alignment horizontal="left"/>
    </xf>
    <xf numFmtId="0" fontId="48" fillId="6" borderId="46" xfId="0" applyFont="1" applyFill="1" applyBorder="1" applyAlignment="1">
      <alignment horizontal="left"/>
    </xf>
    <xf numFmtId="0" fontId="24" fillId="0" borderId="0" xfId="0" applyFont="1" applyAlignment="1">
      <alignment horizontal="left" vertical="center" wrapText="1"/>
    </xf>
    <xf numFmtId="3" fontId="24" fillId="0" borderId="44" xfId="0" applyNumberFormat="1" applyFont="1" applyFill="1" applyBorder="1" applyAlignment="1">
      <alignment horizontal="center"/>
    </xf>
    <xf numFmtId="3" fontId="24" fillId="0" borderId="45" xfId="0" applyNumberFormat="1" applyFont="1" applyFill="1" applyBorder="1" applyAlignment="1">
      <alignment horizontal="center"/>
    </xf>
    <xf numFmtId="3" fontId="24" fillId="0" borderId="46" xfId="0" applyNumberFormat="1" applyFont="1" applyFill="1" applyBorder="1" applyAlignment="1">
      <alignment horizontal="center"/>
    </xf>
    <xf numFmtId="3" fontId="24" fillId="0" borderId="13" xfId="0" applyNumberFormat="1" applyFont="1" applyFill="1" applyBorder="1" applyAlignment="1">
      <alignment horizontal="center"/>
    </xf>
    <xf numFmtId="3" fontId="24" fillId="0" borderId="14" xfId="0" applyNumberFormat="1" applyFont="1" applyFill="1" applyBorder="1" applyAlignment="1">
      <alignment horizontal="center"/>
    </xf>
    <xf numFmtId="3" fontId="24" fillId="0" borderId="15" xfId="0" applyNumberFormat="1" applyFont="1" applyFill="1" applyBorder="1" applyAlignment="1">
      <alignment horizontal="center"/>
    </xf>
    <xf numFmtId="165" fontId="24" fillId="0" borderId="44" xfId="0" applyNumberFormat="1" applyFont="1" applyFill="1" applyBorder="1" applyAlignment="1">
      <alignment horizontal="center"/>
    </xf>
    <xf numFmtId="165" fontId="24" fillId="0" borderId="45" xfId="0" applyNumberFormat="1" applyFont="1" applyFill="1" applyBorder="1" applyAlignment="1">
      <alignment horizontal="center"/>
    </xf>
    <xf numFmtId="165" fontId="24" fillId="0" borderId="46" xfId="0" applyNumberFormat="1" applyFont="1" applyFill="1" applyBorder="1" applyAlignment="1">
      <alignment horizontal="center"/>
    </xf>
    <xf numFmtId="3" fontId="24" fillId="0" borderId="44" xfId="0" applyNumberFormat="1" applyFont="1" applyFill="1" applyBorder="1" applyAlignment="1">
      <alignment horizontal="center" vertical="center" wrapText="1"/>
    </xf>
    <xf numFmtId="3" fontId="24" fillId="0" borderId="45" xfId="0" applyNumberFormat="1" applyFont="1" applyFill="1" applyBorder="1" applyAlignment="1">
      <alignment horizontal="center" vertical="center" wrapText="1"/>
    </xf>
    <xf numFmtId="3" fontId="24" fillId="0" borderId="46" xfId="0" applyNumberFormat="1" applyFont="1" applyFill="1" applyBorder="1" applyAlignment="1">
      <alignment horizontal="center" vertical="center" wrapText="1"/>
    </xf>
    <xf numFmtId="3" fontId="40" fillId="0" borderId="22" xfId="0" applyNumberFormat="1" applyFont="1" applyBorder="1" applyAlignment="1">
      <alignment horizontal="center" vertical="center" wrapText="1"/>
    </xf>
    <xf numFmtId="3" fontId="40" fillId="0" borderId="0" xfId="0" applyNumberFormat="1" applyFont="1" applyBorder="1" applyAlignment="1">
      <alignment horizontal="center" vertical="center" wrapText="1"/>
    </xf>
    <xf numFmtId="3" fontId="40" fillId="0" borderId="23" xfId="0" applyNumberFormat="1" applyFont="1" applyBorder="1" applyAlignment="1">
      <alignment horizontal="center" vertical="center" wrapText="1"/>
    </xf>
    <xf numFmtId="3" fontId="40" fillId="0" borderId="27" xfId="0" applyNumberFormat="1" applyFont="1" applyBorder="1" applyAlignment="1">
      <alignment horizontal="center" vertical="center" wrapText="1"/>
    </xf>
    <xf numFmtId="3" fontId="40" fillId="0" borderId="1" xfId="0" applyNumberFormat="1" applyFont="1" applyBorder="1" applyAlignment="1">
      <alignment horizontal="center" vertical="center" wrapText="1"/>
    </xf>
    <xf numFmtId="3" fontId="40" fillId="0" borderId="26" xfId="0" applyNumberFormat="1" applyFont="1" applyBorder="1" applyAlignment="1">
      <alignment horizontal="center" vertical="center" wrapText="1"/>
    </xf>
    <xf numFmtId="165" fontId="24" fillId="0" borderId="27" xfId="0" applyNumberFormat="1" applyFont="1" applyFill="1" applyBorder="1" applyAlignment="1">
      <alignment horizontal="center"/>
    </xf>
    <xf numFmtId="165" fontId="24" fillId="0" borderId="1" xfId="0" applyNumberFormat="1" applyFont="1" applyFill="1" applyBorder="1" applyAlignment="1">
      <alignment horizontal="center"/>
    </xf>
    <xf numFmtId="165" fontId="24" fillId="0" borderId="26" xfId="0" applyNumberFormat="1" applyFont="1" applyFill="1" applyBorder="1" applyAlignment="1">
      <alignment horizontal="center"/>
    </xf>
    <xf numFmtId="0" fontId="5" fillId="0" borderId="81" xfId="1" applyBorder="1" applyAlignment="1" applyProtection="1">
      <alignment vertical="center" wrapText="1"/>
    </xf>
  </cellXfs>
  <cellStyles count="8">
    <cellStyle name="Hyperlink" xfId="1" builtinId="8"/>
    <cellStyle name="Normal" xfId="0" builtinId="0"/>
    <cellStyle name="PSChar" xfId="2" xr:uid="{00000000-0005-0000-0000-000002000000}"/>
    <cellStyle name="PSDate" xfId="3" xr:uid="{00000000-0005-0000-0000-000003000000}"/>
    <cellStyle name="PSDec" xfId="4" xr:uid="{00000000-0005-0000-0000-000004000000}"/>
    <cellStyle name="PSHeading" xfId="5" xr:uid="{00000000-0005-0000-0000-000005000000}"/>
    <cellStyle name="PSInt" xfId="6" xr:uid="{00000000-0005-0000-0000-000006000000}"/>
    <cellStyle name="PSSpacer" xfId="7" xr:uid="{00000000-0005-0000-0000-000007000000}"/>
  </cellStyles>
  <dxfs count="0"/>
  <tableStyles count="0" defaultTableStyle="TableStyleMedium2" defaultPivotStyle="PivotStyleLight16"/>
  <colors>
    <mruColors>
      <color rgb="FFFFFF99"/>
      <color rgb="FF4F81BD"/>
      <color rgb="FFFFCC66"/>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cam-bla-112/SecureReports/Personal_Redemption_Page" TargetMode="External"/><Relationship Id="rId1" Type="http://schemas.openxmlformats.org/officeDocument/2006/relationships/hyperlink" Target="https://paconsulting.sharepoint.com/:x:/r/corporate/cosec-legal/SharePlans/Documents/Your_PA_Share_History.xlsm?d=wb5a8205b81ef45b0b9d877a632231fc3&amp;csf=1&amp;web=1&amp;e=MoqOex"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hmrc.gov.uk/worksheets/sa108-notes.pdf" TargetMode="External"/><Relationship Id="rId1" Type="http://schemas.openxmlformats.org/officeDocument/2006/relationships/hyperlink" Target="http://www.hmrc.gov.uk/forms/sa108.pdf"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hmrc.gov.uk/worksheets/sa108-notes.pdf" TargetMode="External"/><Relationship Id="rId1" Type="http://schemas.openxmlformats.org/officeDocument/2006/relationships/hyperlink" Target="http://www.hmrc.gov.uk/forms/sa108.pdf"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hmrc.gov.uk/worksheets/sa108-notes.pdf" TargetMode="External"/><Relationship Id="rId1" Type="http://schemas.openxmlformats.org/officeDocument/2006/relationships/hyperlink" Target="http://www.hmrc.gov.uk/forms/sa108.pdf"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hmrc.gov.uk/worksheets/sa108-notes.pdf" TargetMode="External"/><Relationship Id="rId1" Type="http://schemas.openxmlformats.org/officeDocument/2006/relationships/hyperlink" Target="http://www.hmrc.gov.uk/forms/sa108.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1"/>
  <sheetViews>
    <sheetView tabSelected="1" zoomScaleNormal="120" zoomScaleSheetLayoutView="100" workbookViewId="0">
      <selection activeCell="D9" sqref="D9"/>
    </sheetView>
  </sheetViews>
  <sheetFormatPr defaultRowHeight="13.2" x14ac:dyDescent="0.25"/>
  <cols>
    <col min="1" max="1" width="23.44140625" customWidth="1"/>
    <col min="2" max="2" width="14" customWidth="1"/>
    <col min="3" max="3" width="60.5546875" customWidth="1"/>
    <col min="4" max="4" width="104" customWidth="1"/>
    <col min="5" max="5" width="24.44140625" customWidth="1"/>
    <col min="6" max="6" width="9.109375" hidden="1" customWidth="1"/>
    <col min="7" max="7" width="61.88671875" customWidth="1"/>
  </cols>
  <sheetData>
    <row r="1" spans="1:4" ht="21" x14ac:dyDescent="0.25">
      <c r="A1" s="597" t="s">
        <v>274</v>
      </c>
      <c r="B1" s="598"/>
      <c r="C1" s="598"/>
      <c r="D1" s="599"/>
    </row>
    <row r="2" spans="1:4" ht="15.6" x14ac:dyDescent="0.25">
      <c r="A2" s="600" t="s">
        <v>11</v>
      </c>
      <c r="B2" s="601"/>
      <c r="C2" s="601"/>
      <c r="D2" s="602"/>
    </row>
    <row r="3" spans="1:4" ht="15.6" x14ac:dyDescent="0.25">
      <c r="A3" s="600" t="s">
        <v>12</v>
      </c>
      <c r="B3" s="601"/>
      <c r="C3" s="601"/>
      <c r="D3" s="602"/>
    </row>
    <row r="4" spans="1:4" ht="16.2" thickBot="1" x14ac:dyDescent="0.3">
      <c r="A4" s="603" t="s">
        <v>273</v>
      </c>
      <c r="B4" s="604"/>
      <c r="C4" s="604"/>
      <c r="D4" s="605"/>
    </row>
    <row r="5" spans="1:4" s="15" customFormat="1" ht="15.6" x14ac:dyDescent="0.25">
      <c r="A5" s="466"/>
      <c r="B5" s="466"/>
      <c r="C5" s="466"/>
      <c r="D5" s="466"/>
    </row>
    <row r="6" spans="1:4" ht="21" x14ac:dyDescent="0.4">
      <c r="A6" s="467" t="s">
        <v>456</v>
      </c>
      <c r="B6" s="467"/>
      <c r="C6" s="467"/>
      <c r="D6" s="467"/>
    </row>
    <row r="7" spans="1:4" ht="15.6" x14ac:dyDescent="0.3">
      <c r="A7" s="467" t="s">
        <v>453</v>
      </c>
      <c r="B7" s="467"/>
      <c r="C7" s="467"/>
      <c r="D7" s="467"/>
    </row>
    <row r="8" spans="1:4" s="15" customFormat="1" ht="16.2" thickBot="1" x14ac:dyDescent="0.35">
      <c r="A8" s="44"/>
      <c r="B8" s="44"/>
      <c r="C8" s="44"/>
      <c r="D8" s="44"/>
    </row>
    <row r="9" spans="1:4" s="4" customFormat="1" ht="62.4" x14ac:dyDescent="0.25">
      <c r="A9" s="471" t="s">
        <v>0</v>
      </c>
      <c r="B9" s="472"/>
      <c r="C9" s="473" t="s">
        <v>457</v>
      </c>
      <c r="D9" s="710" t="s">
        <v>323</v>
      </c>
    </row>
    <row r="10" spans="1:4" s="4" customFormat="1" ht="47.4" thickBot="1" x14ac:dyDescent="0.3">
      <c r="A10" s="26" t="s">
        <v>1</v>
      </c>
      <c r="B10" s="459" t="s">
        <v>449</v>
      </c>
      <c r="C10" s="27" t="s">
        <v>458</v>
      </c>
      <c r="D10" s="28"/>
    </row>
    <row r="11" spans="1:4" ht="21" x14ac:dyDescent="0.25">
      <c r="A11" s="606" t="s">
        <v>283</v>
      </c>
      <c r="B11" s="607"/>
      <c r="C11" s="607"/>
      <c r="D11" s="608"/>
    </row>
    <row r="12" spans="1:4" s="4" customFormat="1" ht="62.4" x14ac:dyDescent="0.25">
      <c r="A12" s="26" t="s">
        <v>2</v>
      </c>
      <c r="B12" s="459" t="s">
        <v>438</v>
      </c>
      <c r="C12" s="27" t="s">
        <v>459</v>
      </c>
      <c r="D12" s="29" t="s">
        <v>442</v>
      </c>
    </row>
    <row r="13" spans="1:4" s="4" customFormat="1" ht="46.8" x14ac:dyDescent="0.25">
      <c r="A13" s="26" t="s">
        <v>3</v>
      </c>
      <c r="B13" s="459" t="s">
        <v>438</v>
      </c>
      <c r="C13" s="27" t="s">
        <v>460</v>
      </c>
      <c r="D13" s="29" t="s">
        <v>8</v>
      </c>
    </row>
    <row r="14" spans="1:4" s="4" customFormat="1" ht="46.8" x14ac:dyDescent="0.25">
      <c r="A14" s="26" t="s">
        <v>4</v>
      </c>
      <c r="B14" s="459" t="s">
        <v>439</v>
      </c>
      <c r="C14" s="27" t="s">
        <v>462</v>
      </c>
      <c r="D14" s="29" t="s">
        <v>440</v>
      </c>
    </row>
    <row r="15" spans="1:4" s="4" customFormat="1" ht="141" thickBot="1" x14ac:dyDescent="0.3">
      <c r="A15" s="30" t="s">
        <v>5</v>
      </c>
      <c r="B15" s="460" t="s">
        <v>450</v>
      </c>
      <c r="C15" s="31" t="s">
        <v>374</v>
      </c>
      <c r="D15" s="32" t="s">
        <v>454</v>
      </c>
    </row>
    <row r="16" spans="1:4" ht="15.6" x14ac:dyDescent="0.25">
      <c r="A16" s="609" t="s">
        <v>9</v>
      </c>
      <c r="B16" s="610"/>
      <c r="C16" s="610"/>
      <c r="D16" s="611"/>
    </row>
    <row r="17" spans="1:4" ht="24.9" customHeight="1" x14ac:dyDescent="0.3">
      <c r="A17" s="33" t="s">
        <v>20</v>
      </c>
      <c r="B17" s="461"/>
      <c r="C17" s="236">
        <v>0</v>
      </c>
      <c r="D17" s="34" t="s">
        <v>125</v>
      </c>
    </row>
    <row r="18" spans="1:4" ht="24.9" customHeight="1" x14ac:dyDescent="0.3">
      <c r="A18" s="35"/>
      <c r="B18" s="112"/>
      <c r="C18" s="36">
        <f>(C17+C19)</f>
        <v>0</v>
      </c>
      <c r="D18" s="37" t="s">
        <v>287</v>
      </c>
    </row>
    <row r="19" spans="1:4" ht="24.9" customHeight="1" x14ac:dyDescent="0.3">
      <c r="A19" s="33" t="s">
        <v>20</v>
      </c>
      <c r="B19" s="461"/>
      <c r="C19" s="237">
        <v>0</v>
      </c>
      <c r="D19" s="38" t="s">
        <v>288</v>
      </c>
    </row>
    <row r="20" spans="1:4" ht="20.25" customHeight="1" thickBot="1" x14ac:dyDescent="0.35">
      <c r="A20" s="39" t="s">
        <v>345</v>
      </c>
      <c r="B20" s="462"/>
      <c r="D20" s="40"/>
    </row>
    <row r="21" spans="1:4" ht="63" thickBot="1" x14ac:dyDescent="0.3">
      <c r="A21" s="30" t="s">
        <v>6</v>
      </c>
      <c r="B21" s="459" t="s">
        <v>446</v>
      </c>
      <c r="C21" s="42" t="s">
        <v>447</v>
      </c>
      <c r="D21" s="32" t="s">
        <v>294</v>
      </c>
    </row>
    <row r="22" spans="1:4" ht="21" x14ac:dyDescent="0.25">
      <c r="A22" s="597" t="s">
        <v>366</v>
      </c>
      <c r="B22" s="598"/>
      <c r="C22" s="598"/>
      <c r="D22" s="599"/>
    </row>
    <row r="23" spans="1:4" s="4" customFormat="1" ht="46.8" x14ac:dyDescent="0.25">
      <c r="A23" s="41" t="s">
        <v>10</v>
      </c>
      <c r="B23" s="459" t="s">
        <v>439</v>
      </c>
      <c r="C23" s="27" t="s">
        <v>461</v>
      </c>
      <c r="D23" s="29" t="s">
        <v>441</v>
      </c>
    </row>
    <row r="24" spans="1:4" s="15" customFormat="1" ht="63" thickBot="1" x14ac:dyDescent="0.3">
      <c r="A24" s="468" t="s">
        <v>13</v>
      </c>
      <c r="B24" s="478" t="s">
        <v>450</v>
      </c>
      <c r="C24" s="469" t="s">
        <v>444</v>
      </c>
      <c r="D24" s="470" t="s">
        <v>443</v>
      </c>
    </row>
    <row r="25" spans="1:4" s="15" customFormat="1" ht="15.6" x14ac:dyDescent="0.3">
      <c r="A25" s="479" t="s">
        <v>20</v>
      </c>
      <c r="B25" s="480"/>
      <c r="C25" s="481"/>
      <c r="D25" s="482" t="s">
        <v>346</v>
      </c>
    </row>
    <row r="26" spans="1:4" s="15" customFormat="1" ht="15.6" x14ac:dyDescent="0.3">
      <c r="A26" s="55"/>
      <c r="B26" s="110"/>
      <c r="C26" s="47">
        <f>(C25+C28)</f>
        <v>4.3087999999999997</v>
      </c>
      <c r="D26" s="56" t="s">
        <v>347</v>
      </c>
    </row>
    <row r="27" spans="1:4" s="15" customFormat="1" ht="15.6" x14ac:dyDescent="0.3">
      <c r="A27" s="54"/>
      <c r="B27" s="464"/>
      <c r="C27" s="48"/>
      <c r="D27" s="38"/>
    </row>
    <row r="28" spans="1:4" s="15" customFormat="1" ht="15.6" x14ac:dyDescent="0.3">
      <c r="A28" s="54"/>
      <c r="B28" s="464"/>
      <c r="C28" s="49">
        <v>4.3087999999999997</v>
      </c>
      <c r="D28" s="57" t="s">
        <v>297</v>
      </c>
    </row>
    <row r="29" spans="1:4" s="15" customFormat="1" ht="31.2" x14ac:dyDescent="0.3">
      <c r="A29" s="54"/>
      <c r="B29" s="464"/>
      <c r="C29" s="52">
        <f>9.76-C28</f>
        <v>5.4512</v>
      </c>
      <c r="D29" s="483" t="s">
        <v>455</v>
      </c>
    </row>
    <row r="30" spans="1:4" s="15" customFormat="1" ht="16.2" thickBot="1" x14ac:dyDescent="0.35">
      <c r="A30" s="484" t="s">
        <v>348</v>
      </c>
      <c r="B30" s="465"/>
      <c r="C30" s="485"/>
      <c r="D30" s="58"/>
    </row>
    <row r="31" spans="1:4" ht="63" thickBot="1" x14ac:dyDescent="0.3">
      <c r="A31" s="474" t="s">
        <v>14</v>
      </c>
      <c r="B31" s="463" t="s">
        <v>446</v>
      </c>
      <c r="C31" s="476" t="s">
        <v>448</v>
      </c>
      <c r="D31" s="549" t="s">
        <v>495</v>
      </c>
    </row>
    <row r="32" spans="1:4" ht="21" x14ac:dyDescent="0.25">
      <c r="A32" s="597" t="s">
        <v>499</v>
      </c>
      <c r="B32" s="598"/>
      <c r="C32" s="598"/>
      <c r="D32" s="599"/>
    </row>
    <row r="33" spans="1:15" s="4" customFormat="1" ht="46.8" x14ac:dyDescent="0.25">
      <c r="A33" s="26" t="s">
        <v>98</v>
      </c>
      <c r="B33" s="27" t="s">
        <v>439</v>
      </c>
      <c r="C33" s="27" t="s">
        <v>463</v>
      </c>
      <c r="D33" s="29" t="s">
        <v>445</v>
      </c>
    </row>
    <row r="34" spans="1:15" s="4" customFormat="1" ht="31.8" thickBot="1" x14ac:dyDescent="0.3">
      <c r="A34" s="474" t="s">
        <v>100</v>
      </c>
      <c r="B34" s="475" t="s">
        <v>468</v>
      </c>
      <c r="C34" s="476" t="s">
        <v>451</v>
      </c>
      <c r="D34" s="477" t="s">
        <v>452</v>
      </c>
    </row>
    <row r="35" spans="1:15" ht="93.6" x14ac:dyDescent="0.25">
      <c r="A35" s="525" t="s">
        <v>466</v>
      </c>
      <c r="B35" s="526" t="s">
        <v>450</v>
      </c>
      <c r="C35" s="526" t="s">
        <v>471</v>
      </c>
      <c r="D35" s="527" t="s">
        <v>470</v>
      </c>
    </row>
    <row r="36" spans="1:15" ht="16.2" thickBot="1" x14ac:dyDescent="0.35">
      <c r="A36" s="533" t="s">
        <v>20</v>
      </c>
      <c r="B36" s="528"/>
      <c r="C36" s="529"/>
      <c r="D36" s="531"/>
      <c r="E36" s="532"/>
      <c r="F36" s="7" t="s">
        <v>469</v>
      </c>
    </row>
    <row r="37" spans="1:15" ht="31.8" thickBot="1" x14ac:dyDescent="0.3">
      <c r="A37" s="474" t="s">
        <v>480</v>
      </c>
      <c r="B37" s="491" t="s">
        <v>468</v>
      </c>
      <c r="C37" s="491" t="s">
        <v>451</v>
      </c>
      <c r="D37" s="530" t="s">
        <v>452</v>
      </c>
      <c r="F37" s="7" t="s">
        <v>467</v>
      </c>
    </row>
    <row r="39" spans="1:15" ht="13.8" thickBot="1" x14ac:dyDescent="0.3"/>
    <row r="40" spans="1:15" ht="21" x14ac:dyDescent="0.25">
      <c r="A40" s="612" t="s">
        <v>500</v>
      </c>
      <c r="B40" s="613"/>
      <c r="C40" s="613"/>
      <c r="D40" s="614"/>
    </row>
    <row r="41" spans="1:15" ht="34.5" customHeight="1" x14ac:dyDescent="0.25">
      <c r="A41" s="615" t="s">
        <v>501</v>
      </c>
      <c r="B41" s="615"/>
      <c r="C41" s="615"/>
      <c r="D41" s="615"/>
      <c r="E41" s="489"/>
      <c r="F41" s="489"/>
      <c r="G41" s="489"/>
      <c r="H41" s="489"/>
      <c r="I41" s="489"/>
      <c r="J41" s="489"/>
      <c r="K41" s="489"/>
      <c r="L41" s="489"/>
      <c r="M41" s="489"/>
      <c r="N41" s="489"/>
      <c r="O41" s="489"/>
    </row>
    <row r="42" spans="1:15" ht="13.8" thickBot="1" x14ac:dyDescent="0.3">
      <c r="A42" s="6"/>
      <c r="B42" s="489"/>
      <c r="C42" s="489"/>
      <c r="D42" s="489"/>
      <c r="E42" s="489"/>
      <c r="F42" s="489"/>
      <c r="G42" s="489"/>
      <c r="H42" s="489"/>
      <c r="I42" s="489"/>
      <c r="J42" s="536"/>
      <c r="K42" s="489"/>
      <c r="L42" s="489"/>
      <c r="M42" s="489"/>
      <c r="N42" s="489"/>
      <c r="O42" s="489"/>
    </row>
    <row r="43" spans="1:15" ht="13.8" thickBot="1" x14ac:dyDescent="0.3">
      <c r="A43" s="553"/>
      <c r="B43" s="552" t="s">
        <v>489</v>
      </c>
      <c r="C43" s="563" t="s">
        <v>508</v>
      </c>
      <c r="D43" s="552" t="s">
        <v>238</v>
      </c>
      <c r="E43" s="595" t="s">
        <v>490</v>
      </c>
      <c r="F43" s="596"/>
      <c r="G43" s="558"/>
      <c r="H43" s="557"/>
      <c r="I43" s="557"/>
      <c r="J43" s="557"/>
      <c r="K43" s="557"/>
      <c r="L43" s="557"/>
      <c r="M43" s="489"/>
      <c r="N43" s="489"/>
      <c r="O43" s="489"/>
    </row>
    <row r="44" spans="1:15" ht="13.8" thickBot="1" x14ac:dyDescent="0.3">
      <c r="A44" s="545" t="s">
        <v>481</v>
      </c>
      <c r="B44" s="535">
        <f>'s104 holdings'!C160</f>
        <v>0</v>
      </c>
      <c r="C44" s="555"/>
      <c r="D44" s="551">
        <f>'s104 holdings'!G160</f>
        <v>0</v>
      </c>
      <c r="E44" s="616">
        <f>SUM('s104 holdings'!H160:I160)</f>
        <v>0</v>
      </c>
      <c r="F44" s="596"/>
      <c r="G44" s="558"/>
      <c r="H44" s="557"/>
      <c r="I44" s="557"/>
      <c r="J44" s="557"/>
      <c r="K44" s="557"/>
      <c r="L44" s="557"/>
      <c r="M44" s="489"/>
      <c r="N44" s="489"/>
      <c r="O44" s="489"/>
    </row>
    <row r="45" spans="1:15" ht="13.8" thickBot="1" x14ac:dyDescent="0.3">
      <c r="A45" s="545" t="s">
        <v>492</v>
      </c>
      <c r="B45" s="534"/>
      <c r="C45" s="556">
        <f>SUM('s104 holdings'!D161:F161)</f>
        <v>0</v>
      </c>
      <c r="D45" s="551">
        <f>'s104 holdings'!G161</f>
        <v>0</v>
      </c>
      <c r="E45" s="595"/>
      <c r="F45" s="596"/>
      <c r="G45" s="559" t="s">
        <v>509</v>
      </c>
      <c r="H45" s="557"/>
      <c r="I45" s="557"/>
      <c r="J45" s="557"/>
      <c r="K45" s="557"/>
      <c r="L45" s="557"/>
      <c r="M45" s="489"/>
      <c r="N45" s="489"/>
      <c r="O45" s="489"/>
    </row>
    <row r="46" spans="1:15" ht="13.8" thickBot="1" x14ac:dyDescent="0.3">
      <c r="A46" s="545" t="s">
        <v>493</v>
      </c>
      <c r="B46" s="534"/>
      <c r="C46" s="556">
        <f>SUM('s104 holdings'!D162:F162)</f>
        <v>0</v>
      </c>
      <c r="D46" s="551">
        <f>'s104 holdings'!G162</f>
        <v>0</v>
      </c>
      <c r="E46" s="595"/>
      <c r="F46" s="596"/>
      <c r="G46" s="559" t="s">
        <v>509</v>
      </c>
      <c r="H46" s="557"/>
      <c r="I46" s="557"/>
      <c r="J46" s="557"/>
      <c r="K46" s="557"/>
      <c r="L46" s="557"/>
      <c r="M46" s="489"/>
      <c r="N46" s="489"/>
      <c r="O46" s="489"/>
    </row>
    <row r="47" spans="1:15" ht="13.8" thickBot="1" x14ac:dyDescent="0.3">
      <c r="A47" s="545" t="s">
        <v>482</v>
      </c>
      <c r="B47" s="534"/>
      <c r="C47" s="556">
        <f>SUM('s104 holdings'!D163:F163)</f>
        <v>0</v>
      </c>
      <c r="D47" s="551">
        <f>'s104 holdings'!G163</f>
        <v>0</v>
      </c>
      <c r="E47" s="595"/>
      <c r="F47" s="596"/>
      <c r="G47" s="559" t="s">
        <v>509</v>
      </c>
      <c r="H47" s="557"/>
      <c r="I47" s="557"/>
      <c r="J47" s="557"/>
      <c r="K47" s="557"/>
      <c r="L47" s="557"/>
      <c r="M47" s="489"/>
      <c r="N47" s="489"/>
      <c r="O47" s="489"/>
    </row>
    <row r="48" spans="1:15" x14ac:dyDescent="0.25">
      <c r="A48" s="6"/>
      <c r="B48" s="489"/>
      <c r="C48" s="489"/>
      <c r="D48" s="489"/>
      <c r="E48" s="489"/>
      <c r="F48" s="489"/>
      <c r="G48" s="489"/>
      <c r="H48" s="489"/>
      <c r="I48" s="489"/>
      <c r="J48" s="536"/>
      <c r="K48" s="489"/>
      <c r="L48" s="489"/>
      <c r="M48" s="489"/>
      <c r="N48" s="489"/>
      <c r="O48" s="489"/>
    </row>
    <row r="49" spans="1:15" x14ac:dyDescent="0.25">
      <c r="A49" s="489"/>
      <c r="B49" s="489"/>
      <c r="C49" s="489"/>
      <c r="D49" s="489"/>
      <c r="E49" s="489"/>
      <c r="F49" s="489"/>
      <c r="G49" s="489"/>
      <c r="H49" s="489"/>
      <c r="I49" s="489"/>
      <c r="J49" s="489"/>
      <c r="K49" s="489"/>
      <c r="L49" s="489"/>
      <c r="M49" s="489"/>
      <c r="N49" s="489"/>
      <c r="O49" s="489"/>
    </row>
    <row r="50" spans="1:15" x14ac:dyDescent="0.25">
      <c r="E50" s="489"/>
      <c r="F50" s="489"/>
      <c r="G50" s="489"/>
      <c r="H50" s="489"/>
      <c r="I50" s="489"/>
      <c r="J50" s="489"/>
      <c r="K50" s="489"/>
      <c r="L50" s="489"/>
      <c r="M50" s="489"/>
      <c r="N50" s="489"/>
      <c r="O50" s="489"/>
    </row>
    <row r="51" spans="1:15" x14ac:dyDescent="0.25">
      <c r="E51" s="489"/>
      <c r="F51" s="489"/>
      <c r="G51" s="489"/>
      <c r="H51" s="489"/>
      <c r="I51" s="489"/>
      <c r="J51" s="489"/>
      <c r="K51" s="489"/>
      <c r="L51" s="489"/>
      <c r="M51" s="489"/>
      <c r="N51" s="489"/>
      <c r="O51" s="489"/>
    </row>
  </sheetData>
  <mergeCells count="15">
    <mergeCell ref="E46:F46"/>
    <mergeCell ref="E47:F47"/>
    <mergeCell ref="A32:D32"/>
    <mergeCell ref="A1:D1"/>
    <mergeCell ref="A2:D2"/>
    <mergeCell ref="A3:D3"/>
    <mergeCell ref="A4:D4"/>
    <mergeCell ref="A11:D11"/>
    <mergeCell ref="A22:D22"/>
    <mergeCell ref="A16:D16"/>
    <mergeCell ref="A40:D40"/>
    <mergeCell ref="A41:D41"/>
    <mergeCell ref="E43:F43"/>
    <mergeCell ref="E44:F44"/>
    <mergeCell ref="E45:F45"/>
  </mergeCells>
  <phoneticPr fontId="3" type="noConversion"/>
  <dataValidations count="1">
    <dataValidation type="list" allowBlank="1" showInputMessage="1" showErrorMessage="1" sqref="C36" xr:uid="{00000000-0002-0000-0000-000000000000}">
      <formula1>$F$36:$F$37</formula1>
    </dataValidation>
  </dataValidations>
  <hyperlinks>
    <hyperlink ref="D9" r:id="rId1" xr:uid="{00000000-0004-0000-0000-000000000000}"/>
    <hyperlink ref="D31" r:id="rId2" xr:uid="{00000000-0004-0000-0000-000001000000}"/>
  </hyperlinks>
  <pageMargins left="0.39370078740157483" right="0.35433070866141736" top="0.70866141732283472" bottom="0.55118110236220474" header="0.51181102362204722" footer="0.35433070866141736"/>
  <pageSetup paperSize="8" scale="76" orientation="portrait" r:id="rId3"/>
  <headerFooter alignWithMargins="0">
    <oddFooter>&amp;L&amp;A&amp;R&amp;D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99"/>
  <sheetViews>
    <sheetView zoomScaleNormal="100" zoomScaleSheetLayoutView="100" zoomScalePageLayoutView="40" workbookViewId="0"/>
  </sheetViews>
  <sheetFormatPr defaultRowHeight="13.2" x14ac:dyDescent="0.25"/>
  <cols>
    <col min="1" max="1" width="56.5546875" customWidth="1"/>
    <col min="2" max="2" width="20" customWidth="1"/>
    <col min="3" max="3" width="21" customWidth="1"/>
    <col min="4" max="4" width="19.44140625" customWidth="1"/>
    <col min="5" max="5" width="53.44140625" customWidth="1"/>
    <col min="6" max="6" width="35.88671875" hidden="1" customWidth="1"/>
    <col min="7" max="7" width="0" hidden="1" customWidth="1"/>
    <col min="8" max="8" width="64.33203125" bestFit="1" customWidth="1"/>
    <col min="9" max="9" width="10.109375" hidden="1" customWidth="1"/>
  </cols>
  <sheetData>
    <row r="1" spans="1:7" ht="21" x14ac:dyDescent="0.4">
      <c r="A1" s="101" t="s">
        <v>227</v>
      </c>
      <c r="B1" s="25"/>
      <c r="C1" s="25"/>
      <c r="D1" s="25"/>
      <c r="E1" s="25"/>
    </row>
    <row r="2" spans="1:7" ht="16.2" thickBot="1" x14ac:dyDescent="0.35">
      <c r="A2" s="21"/>
      <c r="B2" s="25"/>
      <c r="C2" s="25"/>
      <c r="D2" s="25"/>
      <c r="E2" s="25"/>
    </row>
    <row r="3" spans="1:7" ht="15.6" x14ac:dyDescent="0.3">
      <c r="A3" s="197" t="s">
        <v>114</v>
      </c>
      <c r="B3" s="202"/>
      <c r="C3" s="202"/>
      <c r="D3" s="202"/>
      <c r="E3" s="203"/>
    </row>
    <row r="4" spans="1:7" ht="15.6" x14ac:dyDescent="0.3">
      <c r="A4" s="223" t="s">
        <v>115</v>
      </c>
      <c r="B4" s="238"/>
      <c r="C4" s="238"/>
      <c r="D4" s="238"/>
      <c r="E4" s="220"/>
    </row>
    <row r="5" spans="1:7" ht="16.2" thickBot="1" x14ac:dyDescent="0.35">
      <c r="A5" s="338" t="s">
        <v>49</v>
      </c>
      <c r="B5" s="226" t="s">
        <v>50</v>
      </c>
      <c r="C5" s="339" t="s">
        <v>51</v>
      </c>
      <c r="D5" s="226"/>
      <c r="E5" s="227"/>
    </row>
    <row r="6" spans="1:7" ht="16.2" thickBot="1" x14ac:dyDescent="0.35">
      <c r="A6" s="21"/>
      <c r="B6" s="25"/>
      <c r="C6" s="25"/>
      <c r="D6" s="25"/>
      <c r="E6" s="25"/>
    </row>
    <row r="7" spans="1:7" ht="15.6" x14ac:dyDescent="0.3">
      <c r="A7" s="274" t="s">
        <v>363</v>
      </c>
      <c r="B7" s="111"/>
      <c r="C7" s="111"/>
      <c r="D7" s="111"/>
      <c r="E7" s="159"/>
    </row>
    <row r="8" spans="1:7" ht="15.6" x14ac:dyDescent="0.3">
      <c r="A8" s="243"/>
      <c r="B8" s="112"/>
      <c r="C8" s="112"/>
      <c r="D8" s="112"/>
      <c r="E8" s="129"/>
    </row>
    <row r="9" spans="1:7" ht="15.6" x14ac:dyDescent="0.3">
      <c r="A9" s="275" t="s">
        <v>243</v>
      </c>
      <c r="B9" s="288" t="s">
        <v>39</v>
      </c>
      <c r="C9" s="288" t="s">
        <v>37</v>
      </c>
      <c r="D9" s="288" t="s">
        <v>38</v>
      </c>
      <c r="E9" s="129"/>
    </row>
    <row r="10" spans="1:7" ht="62.4" x14ac:dyDescent="0.3">
      <c r="A10" s="289" t="s">
        <v>247</v>
      </c>
      <c r="B10" s="290"/>
      <c r="C10" s="246">
        <v>3.83</v>
      </c>
      <c r="D10" s="244" t="str">
        <f>IF(B10*C10&gt;0,B10*C10,"")</f>
        <v/>
      </c>
      <c r="E10" s="353" t="s">
        <v>246</v>
      </c>
      <c r="G10" s="1">
        <v>3.22</v>
      </c>
    </row>
    <row r="11" spans="1:7" ht="15.6" x14ac:dyDescent="0.3">
      <c r="A11" s="128"/>
      <c r="B11" s="112"/>
      <c r="C11" s="112"/>
      <c r="D11" s="112"/>
      <c r="E11" s="129"/>
      <c r="G11" s="1">
        <v>3.83</v>
      </c>
    </row>
    <row r="12" spans="1:7" ht="15.6" x14ac:dyDescent="0.3">
      <c r="A12" s="275" t="s">
        <v>91</v>
      </c>
      <c r="B12" s="288" t="s">
        <v>104</v>
      </c>
      <c r="C12" s="112"/>
      <c r="D12" s="112"/>
      <c r="E12" s="129"/>
    </row>
    <row r="13" spans="1:7" ht="15.9" customHeight="1" x14ac:dyDescent="0.3">
      <c r="A13" s="128" t="s">
        <v>102</v>
      </c>
      <c r="B13" s="244">
        <f>SUM('s104 holdings'!O58:O71)</f>
        <v>0</v>
      </c>
      <c r="C13" s="112"/>
      <c r="D13" s="112"/>
      <c r="E13" s="129"/>
    </row>
    <row r="14" spans="1:7" ht="15.9" customHeight="1" x14ac:dyDescent="0.3">
      <c r="A14" s="128" t="str">
        <f>IF(B10&gt;0,"From 2007 PA Option exercise of "&amp;B10&amp;" shares","")</f>
        <v/>
      </c>
      <c r="B14" s="244" t="str">
        <f>IF(B10&gt;0,B10*(C10+5.5),"")</f>
        <v/>
      </c>
      <c r="C14" s="112"/>
      <c r="D14" s="112"/>
      <c r="E14" s="129"/>
    </row>
    <row r="15" spans="1:7" ht="15.9" customHeight="1" x14ac:dyDescent="0.3">
      <c r="A15" s="128" t="s">
        <v>103</v>
      </c>
      <c r="B15" s="294"/>
      <c r="C15" s="112"/>
      <c r="D15" s="112"/>
      <c r="E15" s="129"/>
    </row>
    <row r="16" spans="1:7" ht="15.9" customHeight="1" x14ac:dyDescent="0.3">
      <c r="A16" s="243" t="s">
        <v>41</v>
      </c>
      <c r="B16" s="295">
        <f>SUM(B13:B15)</f>
        <v>0</v>
      </c>
      <c r="C16" s="112"/>
      <c r="D16" s="112"/>
      <c r="E16" s="129"/>
    </row>
    <row r="17" spans="1:5" ht="15.9" customHeight="1" x14ac:dyDescent="0.3">
      <c r="A17" s="128" t="s">
        <v>232</v>
      </c>
      <c r="B17" s="340" t="str">
        <f>IF(B16&gt;42400,"Yes, you are required to report your disposal on your tax return","No, only required to report if taxable gains more than £10,600 or elections to be made")</f>
        <v>No, only required to report if taxable gains more than £10,600 or elections to be made</v>
      </c>
      <c r="C17" s="112"/>
      <c r="D17" s="112"/>
      <c r="E17" s="129"/>
    </row>
    <row r="18" spans="1:5" ht="15.6" x14ac:dyDescent="0.3">
      <c r="A18" s="128"/>
      <c r="B18" s="112"/>
      <c r="C18" s="112"/>
      <c r="D18" s="112"/>
      <c r="E18" s="129"/>
    </row>
    <row r="19" spans="1:5" ht="15.6" x14ac:dyDescent="0.3">
      <c r="A19" s="128"/>
      <c r="B19" s="112"/>
      <c r="C19" s="112"/>
      <c r="D19" s="112"/>
      <c r="E19" s="129"/>
    </row>
    <row r="20" spans="1:5" ht="15.6" x14ac:dyDescent="0.3">
      <c r="A20" s="275" t="s">
        <v>418</v>
      </c>
      <c r="B20" s="288" t="s">
        <v>419</v>
      </c>
      <c r="C20" s="112"/>
      <c r="D20" s="112"/>
      <c r="E20" s="129"/>
    </row>
    <row r="21" spans="1:5" ht="15.9" customHeight="1" x14ac:dyDescent="0.3">
      <c r="A21" s="128" t="str">
        <f>A13</f>
        <v>From PA share sales per s104 Holdings sheet</v>
      </c>
      <c r="B21" s="244">
        <f>SUM('s104 holdings'!P58:P71)</f>
        <v>0</v>
      </c>
      <c r="C21" s="112"/>
      <c r="D21" s="112"/>
      <c r="E21" s="129"/>
    </row>
    <row r="22" spans="1:5" ht="15.9" customHeight="1" x14ac:dyDescent="0.3">
      <c r="A22" s="128" t="str">
        <f>IF(A14&lt;&gt;"","Gain on above PA share option exercise","")</f>
        <v/>
      </c>
      <c r="B22" s="244" t="str">
        <f>IF(D10&gt;0,D10,"")</f>
        <v/>
      </c>
      <c r="C22" s="112"/>
      <c r="D22" s="112"/>
      <c r="E22" s="129"/>
    </row>
    <row r="23" spans="1:5" ht="15.9" customHeight="1" x14ac:dyDescent="0.3">
      <c r="A23" s="128" t="str">
        <f>A15</f>
        <v>Any non-PA chargeable sales you made</v>
      </c>
      <c r="B23" s="294"/>
      <c r="C23" s="112"/>
      <c r="D23" s="112"/>
      <c r="E23" s="129"/>
    </row>
    <row r="24" spans="1:5" ht="15.9" customHeight="1" x14ac:dyDescent="0.3">
      <c r="A24" s="243" t="s">
        <v>36</v>
      </c>
      <c r="B24" s="295">
        <f>SUM(B21:B23)</f>
        <v>0</v>
      </c>
      <c r="C24" s="112"/>
      <c r="D24" s="112"/>
      <c r="E24" s="129"/>
    </row>
    <row r="25" spans="1:5" ht="15.9" customHeight="1" x14ac:dyDescent="0.3">
      <c r="A25" s="128" t="s">
        <v>79</v>
      </c>
      <c r="B25" s="294"/>
      <c r="C25" s="296" t="str">
        <f>IF(-B25&gt;B24,"Losses c/f","")</f>
        <v/>
      </c>
      <c r="D25" s="244" t="str">
        <f>IF(C25="","",-SUM(B24:B25))</f>
        <v/>
      </c>
      <c r="E25" s="129"/>
    </row>
    <row r="26" spans="1:5" ht="15.9" customHeight="1" x14ac:dyDescent="0.3">
      <c r="A26" s="243" t="s">
        <v>44</v>
      </c>
      <c r="B26" s="297">
        <f>MAX(0,SUM(B24:B25))</f>
        <v>0</v>
      </c>
      <c r="C26" s="112"/>
      <c r="D26" s="112"/>
      <c r="E26" s="129"/>
    </row>
    <row r="27" spans="1:5" ht="15.9" customHeight="1" x14ac:dyDescent="0.3">
      <c r="A27" s="128" t="s">
        <v>45</v>
      </c>
      <c r="B27" s="347">
        <v>-10600</v>
      </c>
      <c r="C27" s="112"/>
      <c r="D27" s="112"/>
      <c r="E27" s="129"/>
    </row>
    <row r="28" spans="1:5" ht="15.9" customHeight="1" x14ac:dyDescent="0.3">
      <c r="A28" s="243" t="s">
        <v>46</v>
      </c>
      <c r="B28" s="295">
        <f>MAX(0,SUM(B26:B27))</f>
        <v>0</v>
      </c>
      <c r="C28" s="112"/>
      <c r="D28" s="112"/>
      <c r="E28" s="129"/>
    </row>
    <row r="29" spans="1:5" ht="15.9" customHeight="1" x14ac:dyDescent="0.3">
      <c r="A29" s="128" t="s">
        <v>233</v>
      </c>
      <c r="B29" s="340" t="str">
        <f>IF(B28&gt;0,"Yes, you must report your gains on your tax return","No, you only need report gains where total sales &gt; 4 x £10,600 exemption or elections being made")</f>
        <v>No, you only need report gains where total sales &gt; 4 x £10,600 exemption or elections being made</v>
      </c>
      <c r="C29" s="112"/>
      <c r="D29" s="112"/>
      <c r="E29" s="129"/>
    </row>
    <row r="30" spans="1:5" ht="15.9" customHeight="1" x14ac:dyDescent="0.3">
      <c r="A30" s="298" t="str">
        <f>IF(B28&gt;0,"Tax @28% due by 31 January 2013 on your gains:","")</f>
        <v/>
      </c>
      <c r="B30" s="299" t="str">
        <f>IF(A30="","",ROUND(B28*28%,2))</f>
        <v/>
      </c>
      <c r="C30" s="112"/>
      <c r="D30" s="112"/>
      <c r="E30" s="129"/>
    </row>
    <row r="31" spans="1:5" ht="16.2" thickBot="1" x14ac:dyDescent="0.35">
      <c r="A31" s="300"/>
      <c r="B31" s="148"/>
      <c r="C31" s="148"/>
      <c r="D31" s="148"/>
      <c r="E31" s="150"/>
    </row>
    <row r="32" spans="1:5" ht="15.6" x14ac:dyDescent="0.3">
      <c r="A32" s="25"/>
      <c r="B32" s="25"/>
      <c r="C32" s="25"/>
      <c r="D32" s="25"/>
      <c r="E32" s="25"/>
    </row>
    <row r="33" spans="1:8" ht="15.6" x14ac:dyDescent="0.3">
      <c r="A33" s="20" t="s">
        <v>72</v>
      </c>
      <c r="B33" s="25"/>
      <c r="C33" s="25"/>
      <c r="D33" s="25"/>
      <c r="E33" s="25"/>
    </row>
    <row r="34" spans="1:8" ht="15.6" x14ac:dyDescent="0.3">
      <c r="A34" s="25"/>
      <c r="B34" s="25"/>
      <c r="C34" s="25"/>
      <c r="D34" s="25"/>
      <c r="E34" s="25"/>
    </row>
    <row r="35" spans="1:8" ht="16.2" thickBot="1" x14ac:dyDescent="0.35">
      <c r="A35" s="25"/>
      <c r="B35" s="25"/>
      <c r="C35" s="25"/>
      <c r="D35" s="25"/>
      <c r="E35" s="25"/>
    </row>
    <row r="36" spans="1:8" ht="15.6" x14ac:dyDescent="0.3">
      <c r="A36" s="341" t="s">
        <v>228</v>
      </c>
      <c r="B36" s="301"/>
      <c r="C36" s="301"/>
      <c r="D36" s="301"/>
      <c r="E36" s="302"/>
    </row>
    <row r="37" spans="1:8" ht="16.5" customHeight="1" x14ac:dyDescent="0.3">
      <c r="A37" s="45"/>
      <c r="B37" s="110"/>
      <c r="C37" s="110"/>
      <c r="D37" s="110"/>
      <c r="E37" s="51"/>
    </row>
    <row r="38" spans="1:8" ht="15.6" x14ac:dyDescent="0.3">
      <c r="A38" s="303" t="s">
        <v>261</v>
      </c>
      <c r="B38" s="110"/>
      <c r="C38" s="110"/>
      <c r="D38" s="110"/>
      <c r="E38" s="51"/>
      <c r="F38" t="s">
        <v>244</v>
      </c>
    </row>
    <row r="39" spans="1:8" ht="15.6" x14ac:dyDescent="0.3">
      <c r="A39" s="303" t="s">
        <v>267</v>
      </c>
      <c r="B39" s="110"/>
      <c r="C39" s="110"/>
      <c r="D39" s="110"/>
      <c r="E39" s="51"/>
    </row>
    <row r="40" spans="1:8" ht="15.6" x14ac:dyDescent="0.3">
      <c r="A40" s="303" t="s">
        <v>263</v>
      </c>
      <c r="B40" s="110"/>
      <c r="C40" s="110"/>
      <c r="D40" s="110"/>
      <c r="E40" s="51"/>
    </row>
    <row r="41" spans="1:8" ht="15.6" x14ac:dyDescent="0.3">
      <c r="A41" s="46"/>
      <c r="B41" s="110"/>
      <c r="C41" s="110"/>
      <c r="D41" s="110"/>
      <c r="E41" s="51"/>
    </row>
    <row r="42" spans="1:8" ht="15.6" x14ac:dyDescent="0.3">
      <c r="A42" s="304" t="s">
        <v>245</v>
      </c>
      <c r="B42" s="305" t="s">
        <v>53</v>
      </c>
      <c r="C42" s="306" t="s">
        <v>55</v>
      </c>
      <c r="D42" s="306" t="s">
        <v>54</v>
      </c>
      <c r="E42" s="307" t="s">
        <v>56</v>
      </c>
      <c r="H42" s="7" t="s">
        <v>244</v>
      </c>
    </row>
    <row r="43" spans="1:8" ht="15.6" x14ac:dyDescent="0.3">
      <c r="A43" s="46" t="str">
        <f t="shared" ref="A43:A46" si="0">IF(C43="","","PA Consulting Group Limited 10 pence Ordinary Shares")</f>
        <v/>
      </c>
      <c r="B43" s="308" t="str">
        <f>IF(A43="","",'s104 holdings'!C58)</f>
        <v/>
      </c>
      <c r="C43" s="190" t="str">
        <f>IF('s104 holdings'!F58&lt;&gt;0,-'s104 holdings'!F58,"")</f>
        <v/>
      </c>
      <c r="D43" s="117" t="str">
        <f>IF(C43="","",'s104 holdings'!O58)</f>
        <v/>
      </c>
      <c r="E43" s="309" t="str">
        <f>IF(D43="","",'s104 holdings'!P58)</f>
        <v/>
      </c>
      <c r="F43" s="8" t="str">
        <f>IF('1213 TR pages'!C47="","","This is your share transfer")</f>
        <v/>
      </c>
    </row>
    <row r="44" spans="1:8" ht="15.6" x14ac:dyDescent="0.3">
      <c r="A44" s="46" t="str">
        <f t="shared" si="0"/>
        <v/>
      </c>
      <c r="B44" s="308" t="str">
        <f>IF(A44="","",'s104 holdings'!C60)</f>
        <v/>
      </c>
      <c r="C44" s="190" t="str">
        <f>IF('s104 holdings'!F60&lt;&gt;0,-'s104 holdings'!F60,"")</f>
        <v/>
      </c>
      <c r="D44" s="117" t="str">
        <f>IF(C44="","",'s104 holdings'!O60)</f>
        <v/>
      </c>
      <c r="E44" s="309" t="str">
        <f>IF(D44="","",'s104 holdings'!P60)</f>
        <v/>
      </c>
      <c r="F44" s="3"/>
      <c r="H44" s="8" t="str">
        <f>IF(E44="","","This is your share transfer")</f>
        <v/>
      </c>
    </row>
    <row r="45" spans="1:8" ht="15.6" x14ac:dyDescent="0.3">
      <c r="A45" s="46" t="str">
        <f t="shared" si="0"/>
        <v/>
      </c>
      <c r="B45" s="308" t="str">
        <f>IF(A45="","",'s104 holdings'!C61)</f>
        <v/>
      </c>
      <c r="C45" s="190" t="str">
        <f>IF('s104 holdings'!F61&lt;&gt;0,-'s104 holdings'!F61,"")</f>
        <v/>
      </c>
      <c r="D45" s="117" t="str">
        <f>IF(C45="","",'s104 holdings'!O61)</f>
        <v/>
      </c>
      <c r="E45" s="309" t="str">
        <f>IF(D45="","",'s104 holdings'!P61)</f>
        <v/>
      </c>
      <c r="F45" s="3"/>
    </row>
    <row r="46" spans="1:8" ht="15.6" x14ac:dyDescent="0.3">
      <c r="A46" s="46" t="str">
        <f t="shared" si="0"/>
        <v/>
      </c>
      <c r="B46" s="308" t="str">
        <f>IF(A46="","",'s104 holdings'!C63)</f>
        <v/>
      </c>
      <c r="C46" s="190" t="str">
        <f>IF('s104 holdings'!F63&lt;&gt;0,-'s104 holdings'!F63,"")</f>
        <v/>
      </c>
      <c r="D46" s="117" t="str">
        <f>IF(C46="","",'s104 holdings'!O63)</f>
        <v/>
      </c>
      <c r="E46" s="309" t="str">
        <f>IF(D46="","",'s104 holdings'!P63)</f>
        <v/>
      </c>
      <c r="F46" s="3"/>
    </row>
    <row r="47" spans="1:8" ht="15.6" x14ac:dyDescent="0.3">
      <c r="A47" s="46" t="str">
        <f t="shared" ref="A47:A52" si="1">IF(C47="","","PA Consulting Group Limited 10 pence Ordinary Shares")</f>
        <v/>
      </c>
      <c r="B47" s="308" t="str">
        <f>IF(A47="","",'s104 holdings'!C64)</f>
        <v/>
      </c>
      <c r="C47" s="190" t="str">
        <f>IF('s104 holdings'!F64&lt;&gt;0,-'s104 holdings'!F64,"")</f>
        <v/>
      </c>
      <c r="D47" s="117" t="str">
        <f>IF(C47="","",'s104 holdings'!O64)</f>
        <v/>
      </c>
      <c r="E47" s="309" t="str">
        <f>IF(D47="","",'s104 holdings'!P64)</f>
        <v/>
      </c>
      <c r="F47" s="3"/>
      <c r="H47" s="8" t="str">
        <f>IF(E47="","","This is your share transfer")</f>
        <v/>
      </c>
    </row>
    <row r="48" spans="1:8" ht="15.6" x14ac:dyDescent="0.3">
      <c r="A48" s="46" t="str">
        <f t="shared" si="1"/>
        <v/>
      </c>
      <c r="B48" s="308" t="str">
        <f>IF(A48="","",'s104 holdings'!C66)</f>
        <v/>
      </c>
      <c r="C48" s="190" t="str">
        <f>IF('s104 holdings'!F66&lt;&gt;0,-'s104 holdings'!F66,"")</f>
        <v/>
      </c>
      <c r="D48" s="117" t="str">
        <f>IF(C48="","",'s104 holdings'!O66)</f>
        <v/>
      </c>
      <c r="E48" s="309" t="str">
        <f>IF(D48="","",'s104 holdings'!P66)</f>
        <v/>
      </c>
      <c r="F48" s="3"/>
      <c r="H48" s="8" t="str">
        <f>IF(E48="","","This is your share transfer")</f>
        <v/>
      </c>
    </row>
    <row r="49" spans="1:9" ht="15.6" x14ac:dyDescent="0.3">
      <c r="A49" s="46" t="str">
        <f t="shared" si="1"/>
        <v/>
      </c>
      <c r="B49" s="308" t="str">
        <f>IF(A49="","",'s104 holdings'!C67)</f>
        <v/>
      </c>
      <c r="C49" s="190" t="str">
        <f>IF('s104 holdings'!F67&lt;&gt;0,-'s104 holdings'!F67,"")</f>
        <v/>
      </c>
      <c r="D49" s="117" t="str">
        <f>IF(C49="","",'s104 holdings'!O67)</f>
        <v/>
      </c>
      <c r="E49" s="309" t="str">
        <f>IF(D49="","",'s104 holdings'!P67)</f>
        <v/>
      </c>
      <c r="F49" s="3"/>
      <c r="H49" s="8"/>
    </row>
    <row r="50" spans="1:9" ht="15.6" x14ac:dyDescent="0.3">
      <c r="A50" s="46" t="str">
        <f t="shared" si="1"/>
        <v/>
      </c>
      <c r="B50" s="308" t="str">
        <f>IF(A50="","",'s104 holdings'!C70)</f>
        <v/>
      </c>
      <c r="C50" s="190" t="str">
        <f>IF('s104 holdings'!F70&lt;&gt;0,-'s104 holdings'!F70,"")</f>
        <v/>
      </c>
      <c r="D50" s="117" t="str">
        <f>IF(C50="","",'s104 holdings'!O70)</f>
        <v/>
      </c>
      <c r="E50" s="309" t="str">
        <f>IF(D50="","",'s104 holdings'!P70)</f>
        <v/>
      </c>
      <c r="F50" s="3"/>
      <c r="H50" s="8"/>
    </row>
    <row r="51" spans="1:9" ht="15.6" x14ac:dyDescent="0.3">
      <c r="A51" s="46" t="str">
        <f t="shared" si="1"/>
        <v/>
      </c>
      <c r="B51" s="308" t="str">
        <f>IF(A51="","",'s104 holdings'!C71)</f>
        <v/>
      </c>
      <c r="C51" s="190" t="str">
        <f>IF('s104 holdings'!K71&lt;&gt;0,-'s104 holdings'!K71,"")</f>
        <v/>
      </c>
      <c r="D51" s="117" t="str">
        <f>IF(C51="","",'s104 holdings'!O71)</f>
        <v/>
      </c>
      <c r="E51" s="309" t="str">
        <f>IF(D51="","",'s104 holdings'!P71)</f>
        <v/>
      </c>
      <c r="F51" s="3"/>
      <c r="H51" s="8"/>
    </row>
    <row r="52" spans="1:9" ht="15.6" x14ac:dyDescent="0.3">
      <c r="A52" s="46" t="str">
        <f t="shared" si="1"/>
        <v/>
      </c>
      <c r="B52" s="308"/>
      <c r="C52" s="190" t="str">
        <f>IF(B10&lt;&gt;0,B10,"")</f>
        <v/>
      </c>
      <c r="D52" s="117" t="str">
        <f>IF(C52="","",B14)</f>
        <v/>
      </c>
      <c r="E52" s="309" t="str">
        <f>IF(D52="","",B22)</f>
        <v/>
      </c>
      <c r="F52" s="3"/>
      <c r="H52" s="8" t="str">
        <f>IF(E52="","","This is your 2007 share options which you exercised and immediately sold")</f>
        <v/>
      </c>
      <c r="I52" s="14">
        <v>40816</v>
      </c>
    </row>
    <row r="53" spans="1:9" ht="15.6" x14ac:dyDescent="0.3">
      <c r="A53" s="46" t="s">
        <v>63</v>
      </c>
      <c r="B53" s="310"/>
      <c r="C53" s="311"/>
      <c r="D53" s="312">
        <f>SUM(D43:D52)</f>
        <v>0</v>
      </c>
      <c r="E53" s="313">
        <f>SUM(E43:E52)</f>
        <v>0</v>
      </c>
      <c r="F53" s="3"/>
      <c r="I53" s="14">
        <v>40998</v>
      </c>
    </row>
    <row r="54" spans="1:9" ht="16.2" thickBot="1" x14ac:dyDescent="0.35">
      <c r="A54" s="53"/>
      <c r="B54" s="314"/>
      <c r="C54" s="315"/>
      <c r="D54" s="316"/>
      <c r="E54" s="317"/>
      <c r="F54" s="3"/>
    </row>
    <row r="55" spans="1:9" ht="15.6" x14ac:dyDescent="0.3">
      <c r="A55" s="112"/>
      <c r="B55" s="318"/>
      <c r="C55" s="319"/>
      <c r="D55" s="320"/>
      <c r="E55" s="321"/>
      <c r="F55" s="3"/>
    </row>
    <row r="56" spans="1:9" ht="16.2" thickBot="1" x14ac:dyDescent="0.35">
      <c r="A56" s="25"/>
      <c r="B56" s="334"/>
      <c r="C56" s="335"/>
      <c r="D56" s="332"/>
      <c r="E56" s="333"/>
      <c r="F56" s="3"/>
    </row>
    <row r="57" spans="1:9" ht="15.6" x14ac:dyDescent="0.3">
      <c r="A57" s="274" t="s">
        <v>229</v>
      </c>
      <c r="B57" s="322"/>
      <c r="C57" s="323"/>
      <c r="D57" s="324"/>
      <c r="E57" s="325"/>
      <c r="F57" s="3"/>
    </row>
    <row r="58" spans="1:9" ht="15.6" x14ac:dyDescent="0.3">
      <c r="A58" s="298" t="s">
        <v>75</v>
      </c>
      <c r="B58" s="318"/>
      <c r="C58" s="319"/>
      <c r="D58" s="320"/>
      <c r="E58" s="326"/>
      <c r="F58" s="3"/>
    </row>
    <row r="59" spans="1:9" ht="15.6" x14ac:dyDescent="0.3">
      <c r="A59" s="128"/>
      <c r="B59" s="318"/>
      <c r="C59" s="319"/>
      <c r="D59" s="320"/>
      <c r="E59" s="326"/>
      <c r="F59" s="3"/>
    </row>
    <row r="60" spans="1:9" ht="15.6" x14ac:dyDescent="0.3">
      <c r="A60" s="243" t="s">
        <v>73</v>
      </c>
      <c r="B60" s="310"/>
      <c r="C60" s="311"/>
      <c r="D60" s="329"/>
      <c r="E60" s="336"/>
      <c r="F60" s="3"/>
    </row>
    <row r="61" spans="1:9" ht="16.2" thickBot="1" x14ac:dyDescent="0.35">
      <c r="A61" s="243"/>
      <c r="B61" s="310"/>
      <c r="C61" s="311"/>
      <c r="D61" s="329"/>
      <c r="E61" s="336"/>
      <c r="F61" s="3"/>
    </row>
    <row r="62" spans="1:9" ht="15" customHeight="1" thickBot="1" x14ac:dyDescent="0.35">
      <c r="A62" s="342" t="s">
        <v>74</v>
      </c>
      <c r="B62" s="310"/>
      <c r="C62" s="343" t="s">
        <v>76</v>
      </c>
      <c r="D62" s="344"/>
      <c r="E62" s="345"/>
      <c r="F62" s="3"/>
    </row>
    <row r="63" spans="1:9" ht="15" customHeight="1" thickBot="1" x14ac:dyDescent="0.35">
      <c r="A63" s="328">
        <f>B24</f>
        <v>0</v>
      </c>
      <c r="B63" s="310"/>
      <c r="C63" s="678">
        <f>MAX(0,D24)</f>
        <v>0</v>
      </c>
      <c r="D63" s="678"/>
      <c r="E63" s="678"/>
      <c r="F63" s="3"/>
    </row>
    <row r="64" spans="1:9" ht="15" customHeight="1" thickBot="1" x14ac:dyDescent="0.35">
      <c r="A64" s="128"/>
      <c r="B64" s="310"/>
      <c r="C64" s="311"/>
      <c r="D64" s="329"/>
      <c r="E64" s="336"/>
      <c r="F64" s="3"/>
    </row>
    <row r="65" spans="1:6" ht="15" customHeight="1" thickBot="1" x14ac:dyDescent="0.35">
      <c r="A65" s="342" t="s">
        <v>260</v>
      </c>
      <c r="B65" s="310"/>
      <c r="C65" s="343" t="s">
        <v>268</v>
      </c>
      <c r="D65" s="344"/>
      <c r="E65" s="345"/>
      <c r="F65" s="3"/>
    </row>
    <row r="66" spans="1:6" ht="15" customHeight="1" thickBot="1" x14ac:dyDescent="0.35">
      <c r="A66" s="328" t="s">
        <v>80</v>
      </c>
      <c r="B66" s="310"/>
      <c r="C66" s="678" t="s">
        <v>80</v>
      </c>
      <c r="D66" s="678"/>
      <c r="E66" s="678"/>
      <c r="F66" s="3"/>
    </row>
    <row r="67" spans="1:6" ht="15" customHeight="1" thickBot="1" x14ac:dyDescent="0.35">
      <c r="A67" s="128"/>
      <c r="B67" s="310"/>
      <c r="C67" s="311"/>
      <c r="D67" s="329"/>
      <c r="E67" s="336"/>
      <c r="F67" s="3"/>
    </row>
    <row r="68" spans="1:6" ht="15" customHeight="1" thickBot="1" x14ac:dyDescent="0.35">
      <c r="A68" s="342" t="s">
        <v>256</v>
      </c>
      <c r="B68" s="310"/>
      <c r="C68" s="343" t="s">
        <v>258</v>
      </c>
      <c r="D68" s="344"/>
      <c r="E68" s="345"/>
      <c r="F68" s="3"/>
    </row>
    <row r="69" spans="1:6" ht="15" customHeight="1" thickBot="1" x14ac:dyDescent="0.35">
      <c r="A69" s="328">
        <v>0</v>
      </c>
      <c r="B69" s="310"/>
      <c r="C69" s="707" t="s">
        <v>80</v>
      </c>
      <c r="D69" s="708"/>
      <c r="E69" s="709"/>
      <c r="F69" s="3"/>
    </row>
    <row r="70" spans="1:6" ht="16.2" thickBot="1" x14ac:dyDescent="0.35">
      <c r="A70" s="128"/>
      <c r="B70" s="329"/>
      <c r="C70" s="110"/>
      <c r="D70" s="110"/>
      <c r="E70" s="51"/>
    </row>
    <row r="71" spans="1:6" ht="15" customHeight="1" thickBot="1" x14ac:dyDescent="0.35">
      <c r="A71" s="342" t="s">
        <v>257</v>
      </c>
      <c r="B71" s="310"/>
      <c r="C71" s="343" t="s">
        <v>259</v>
      </c>
      <c r="D71" s="344"/>
      <c r="E71" s="345"/>
      <c r="F71" s="3"/>
    </row>
    <row r="72" spans="1:6" ht="15" customHeight="1" thickBot="1" x14ac:dyDescent="0.35">
      <c r="A72" s="328">
        <f>MIN(-B25,B24)</f>
        <v>0</v>
      </c>
      <c r="B72" s="310"/>
      <c r="C72" s="678" t="s">
        <v>80</v>
      </c>
      <c r="D72" s="678"/>
      <c r="E72" s="678"/>
      <c r="F72" s="3"/>
    </row>
    <row r="73" spans="1:6" ht="16.2" thickBot="1" x14ac:dyDescent="0.35">
      <c r="A73" s="128"/>
      <c r="B73" s="110"/>
      <c r="C73" s="110"/>
      <c r="D73" s="110"/>
      <c r="E73" s="51"/>
    </row>
    <row r="74" spans="1:6" ht="15" customHeight="1" thickBot="1" x14ac:dyDescent="0.35">
      <c r="A74" s="342" t="s">
        <v>269</v>
      </c>
      <c r="B74" s="310"/>
      <c r="C74" s="343" t="s">
        <v>271</v>
      </c>
      <c r="D74" s="344"/>
      <c r="E74" s="345"/>
      <c r="F74" s="3"/>
    </row>
    <row r="75" spans="1:6" ht="15" customHeight="1" thickBot="1" x14ac:dyDescent="0.35">
      <c r="A75" s="328" t="s">
        <v>80</v>
      </c>
      <c r="B75" s="310"/>
      <c r="C75" s="678" t="s">
        <v>80</v>
      </c>
      <c r="D75" s="678"/>
      <c r="E75" s="678"/>
      <c r="F75" s="3"/>
    </row>
    <row r="76" spans="1:6" ht="15" customHeight="1" thickBot="1" x14ac:dyDescent="0.35">
      <c r="A76" s="354"/>
      <c r="B76" s="310"/>
      <c r="C76" s="355"/>
      <c r="D76" s="355"/>
      <c r="E76" s="356"/>
      <c r="F76" s="3"/>
    </row>
    <row r="77" spans="1:6" ht="15" customHeight="1" thickBot="1" x14ac:dyDescent="0.35">
      <c r="A77" s="342" t="s">
        <v>85</v>
      </c>
      <c r="B77" s="310"/>
      <c r="C77" s="342" t="s">
        <v>336</v>
      </c>
      <c r="D77" s="342"/>
      <c r="E77" s="342"/>
      <c r="F77" s="3"/>
    </row>
    <row r="78" spans="1:6" ht="16.2" thickBot="1" x14ac:dyDescent="0.35">
      <c r="A78" s="328" t="s">
        <v>80</v>
      </c>
      <c r="B78" s="310"/>
      <c r="C78" s="679" t="s">
        <v>80</v>
      </c>
      <c r="D78" s="679"/>
      <c r="E78" s="679"/>
    </row>
    <row r="79" spans="1:6" ht="15" customHeight="1" thickBot="1" x14ac:dyDescent="0.35">
      <c r="A79" s="147"/>
      <c r="B79" s="337"/>
      <c r="C79" s="148"/>
      <c r="D79" s="148"/>
      <c r="E79" s="150"/>
      <c r="F79" s="3"/>
    </row>
    <row r="80" spans="1:6" ht="15" customHeight="1" thickBot="1" x14ac:dyDescent="0.35">
      <c r="A80" s="25"/>
      <c r="B80" s="318"/>
      <c r="C80" s="25"/>
      <c r="D80" s="25"/>
      <c r="E80" s="25"/>
      <c r="F80" s="3"/>
    </row>
    <row r="81" spans="1:6" ht="15.6" x14ac:dyDescent="0.3">
      <c r="A81" s="274" t="s">
        <v>230</v>
      </c>
      <c r="B81" s="111"/>
      <c r="C81" s="111"/>
      <c r="D81" s="111"/>
      <c r="E81" s="159"/>
    </row>
    <row r="82" spans="1:6" ht="15" customHeight="1" x14ac:dyDescent="0.3">
      <c r="A82" s="128"/>
      <c r="B82" s="318"/>
      <c r="C82" s="112"/>
      <c r="D82" s="112"/>
      <c r="E82" s="129"/>
    </row>
    <row r="83" spans="1:6" ht="15" customHeight="1" x14ac:dyDescent="0.3">
      <c r="A83" s="243" t="s">
        <v>65</v>
      </c>
      <c r="B83" s="318"/>
      <c r="C83" s="112"/>
      <c r="D83" s="112"/>
      <c r="E83" s="51"/>
    </row>
    <row r="84" spans="1:6" ht="5.25" customHeight="1" thickBot="1" x14ac:dyDescent="0.35">
      <c r="A84" s="128"/>
      <c r="B84" s="318"/>
      <c r="C84" s="319"/>
      <c r="D84" s="320"/>
      <c r="E84" s="336"/>
    </row>
    <row r="85" spans="1:6" ht="16.2" thickBot="1" x14ac:dyDescent="0.35">
      <c r="A85" s="342" t="s">
        <v>64</v>
      </c>
      <c r="B85" s="318"/>
      <c r="C85" s="343" t="s">
        <v>66</v>
      </c>
      <c r="D85" s="344"/>
      <c r="E85" s="345"/>
    </row>
    <row r="86" spans="1:6" ht="16.2" thickBot="1" x14ac:dyDescent="0.35">
      <c r="A86" s="327">
        <f>COUNT(C43:C52)</f>
        <v>0</v>
      </c>
      <c r="B86" s="318"/>
      <c r="C86" s="678">
        <f>ROUNDDOWN(E53,0)</f>
        <v>0</v>
      </c>
      <c r="D86" s="678"/>
      <c r="E86" s="678"/>
      <c r="F86" s="3"/>
    </row>
    <row r="87" spans="1:6" ht="16.2" thickBot="1" x14ac:dyDescent="0.35">
      <c r="A87" s="128"/>
      <c r="B87" s="320"/>
      <c r="C87" s="319"/>
      <c r="D87" s="320"/>
      <c r="E87" s="336"/>
      <c r="F87" s="3"/>
    </row>
    <row r="88" spans="1:6" ht="16.2" thickBot="1" x14ac:dyDescent="0.35">
      <c r="A88" s="342" t="s">
        <v>67</v>
      </c>
      <c r="B88" s="318"/>
      <c r="C88" s="342" t="s">
        <v>68</v>
      </c>
      <c r="D88" s="342"/>
      <c r="E88" s="342"/>
      <c r="F88" s="3"/>
    </row>
    <row r="89" spans="1:6" ht="16.2" thickBot="1" x14ac:dyDescent="0.35">
      <c r="A89" s="328">
        <f>ROUNDDOWN(SUM(B13:B14),0)</f>
        <v>0</v>
      </c>
      <c r="B89" s="318"/>
      <c r="C89" s="679" t="s">
        <v>69</v>
      </c>
      <c r="D89" s="679"/>
      <c r="E89" s="679"/>
      <c r="F89" s="3"/>
    </row>
    <row r="90" spans="1:6" ht="15" customHeight="1" thickBot="1" x14ac:dyDescent="0.35">
      <c r="A90" s="128"/>
      <c r="B90" s="320"/>
      <c r="C90" s="319"/>
      <c r="D90" s="320"/>
      <c r="E90" s="336"/>
      <c r="F90" s="3"/>
    </row>
    <row r="91" spans="1:6" ht="15" customHeight="1" thickBot="1" x14ac:dyDescent="0.35">
      <c r="A91" s="342" t="s">
        <v>70</v>
      </c>
      <c r="B91" s="318"/>
      <c r="C91" s="342" t="s">
        <v>71</v>
      </c>
      <c r="D91" s="342"/>
      <c r="E91" s="342"/>
      <c r="F91" s="3"/>
    </row>
    <row r="92" spans="1:6" ht="15" customHeight="1" thickBot="1" x14ac:dyDescent="0.35">
      <c r="A92" s="328">
        <f>D53-E53</f>
        <v>0</v>
      </c>
      <c r="B92" s="318"/>
      <c r="C92" s="679" t="s">
        <v>69</v>
      </c>
      <c r="D92" s="679"/>
      <c r="E92" s="679"/>
      <c r="F92" s="3"/>
    </row>
    <row r="93" spans="1:6" ht="15" customHeight="1" x14ac:dyDescent="0.3">
      <c r="A93" s="128"/>
      <c r="B93" s="112"/>
      <c r="C93" s="112"/>
      <c r="D93" s="112"/>
      <c r="E93" s="129"/>
      <c r="F93" s="3"/>
    </row>
    <row r="94" spans="1:6" ht="15" customHeight="1" thickBot="1" x14ac:dyDescent="0.35">
      <c r="A94" s="147"/>
      <c r="B94" s="148"/>
      <c r="C94" s="148"/>
      <c r="D94" s="148"/>
      <c r="E94" s="150"/>
      <c r="F94" s="3"/>
    </row>
    <row r="95" spans="1:6" ht="15.6" x14ac:dyDescent="0.3">
      <c r="A95" s="25"/>
      <c r="B95" s="25"/>
      <c r="C95" s="25"/>
      <c r="D95" s="25"/>
      <c r="E95" s="25"/>
    </row>
    <row r="96" spans="1:6" ht="15.6" x14ac:dyDescent="0.3">
      <c r="A96" s="25"/>
      <c r="B96" s="25"/>
      <c r="C96" s="25"/>
      <c r="D96" s="25"/>
      <c r="E96" s="25"/>
    </row>
    <row r="97" spans="1:5" ht="15.6" x14ac:dyDescent="0.3">
      <c r="A97" s="25"/>
      <c r="B97" s="25"/>
      <c r="C97" s="25"/>
      <c r="D97" s="25"/>
      <c r="E97" s="25"/>
    </row>
    <row r="98" spans="1:5" ht="15.6" x14ac:dyDescent="0.3">
      <c r="A98" s="25"/>
      <c r="B98" s="25"/>
      <c r="C98" s="25"/>
      <c r="D98" s="25"/>
      <c r="E98" s="25"/>
    </row>
    <row r="99" spans="1:5" ht="15.6" x14ac:dyDescent="0.3">
      <c r="A99" s="25"/>
      <c r="B99" s="25"/>
      <c r="C99" s="25"/>
      <c r="D99" s="25"/>
      <c r="E99" s="25"/>
    </row>
  </sheetData>
  <mergeCells count="9">
    <mergeCell ref="C89:E89"/>
    <mergeCell ref="C92:E92"/>
    <mergeCell ref="C63:E63"/>
    <mergeCell ref="C66:E66"/>
    <mergeCell ref="C69:E69"/>
    <mergeCell ref="C72:E72"/>
    <mergeCell ref="C75:E75"/>
    <mergeCell ref="C86:E86"/>
    <mergeCell ref="C78:E78"/>
  </mergeCells>
  <phoneticPr fontId="3" type="noConversion"/>
  <dataValidations count="2">
    <dataValidation type="list" allowBlank="1" showInputMessage="1" showErrorMessage="1" sqref="C10" xr:uid="{00000000-0002-0000-0900-000000000000}">
      <formula1>$G$10:$G$11</formula1>
    </dataValidation>
    <dataValidation type="list" allowBlank="1" showInputMessage="1" showErrorMessage="1" sqref="B52" xr:uid="{00000000-0002-0000-0900-000001000000}">
      <formula1>$I$49:$I$53</formula1>
    </dataValidation>
  </dataValidations>
  <hyperlinks>
    <hyperlink ref="A5" r:id="rId1" xr:uid="{00000000-0004-0000-0900-000000000000}"/>
    <hyperlink ref="C5" r:id="rId2" xr:uid="{00000000-0004-0000-0900-000001000000}"/>
  </hyperlinks>
  <printOptions horizontalCentered="1"/>
  <pageMargins left="0.27559055118110237" right="0.23622047244094491" top="0.98425196850393704" bottom="5.393700787401575" header="0.51181102362204722" footer="0.51181102362204722"/>
  <pageSetup paperSize="9" scale="46" orientation="portrait" r:id="rId3"/>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93"/>
  <sheetViews>
    <sheetView zoomScaleNormal="100" zoomScaleSheetLayoutView="100" workbookViewId="0"/>
  </sheetViews>
  <sheetFormatPr defaultRowHeight="13.2" x14ac:dyDescent="0.25"/>
  <cols>
    <col min="1" max="1" width="56.5546875" customWidth="1"/>
    <col min="2" max="2" width="20" customWidth="1"/>
    <col min="3" max="3" width="15.88671875" customWidth="1"/>
    <col min="4" max="4" width="16.6640625" customWidth="1"/>
    <col min="5" max="5" width="41.33203125" customWidth="1"/>
    <col min="6" max="6" width="35.88671875" customWidth="1"/>
  </cols>
  <sheetData>
    <row r="1" spans="1:6" ht="21" x14ac:dyDescent="0.4">
      <c r="A1" s="101" t="s">
        <v>134</v>
      </c>
      <c r="B1" s="25"/>
      <c r="C1" s="25"/>
      <c r="D1" s="25"/>
      <c r="E1" s="25"/>
    </row>
    <row r="2" spans="1:6" ht="16.2" thickBot="1" x14ac:dyDescent="0.35">
      <c r="A2" s="21"/>
      <c r="B2" s="25"/>
      <c r="C2" s="25"/>
      <c r="D2" s="25"/>
      <c r="E2" s="25"/>
    </row>
    <row r="3" spans="1:6" ht="15.6" x14ac:dyDescent="0.3">
      <c r="A3" s="197" t="s">
        <v>114</v>
      </c>
      <c r="B3" s="202"/>
      <c r="C3" s="202"/>
      <c r="D3" s="202"/>
      <c r="E3" s="203"/>
    </row>
    <row r="4" spans="1:6" ht="15.6" x14ac:dyDescent="0.3">
      <c r="A4" s="223" t="s">
        <v>115</v>
      </c>
      <c r="B4" s="238"/>
      <c r="C4" s="238"/>
      <c r="D4" s="238"/>
      <c r="E4" s="220"/>
    </row>
    <row r="5" spans="1:6" ht="16.2" thickBot="1" x14ac:dyDescent="0.35">
      <c r="A5" s="338" t="s">
        <v>49</v>
      </c>
      <c r="B5" s="226" t="s">
        <v>50</v>
      </c>
      <c r="C5" s="339" t="s">
        <v>51</v>
      </c>
      <c r="D5" s="226"/>
      <c r="E5" s="227"/>
    </row>
    <row r="6" spans="1:6" ht="16.2" thickBot="1" x14ac:dyDescent="0.35">
      <c r="A6" s="21"/>
      <c r="B6" s="25"/>
      <c r="C6" s="25"/>
      <c r="D6" s="25"/>
      <c r="E6" s="25"/>
      <c r="F6" s="16"/>
    </row>
    <row r="7" spans="1:6" ht="15.6" x14ac:dyDescent="0.3">
      <c r="A7" s="274" t="s">
        <v>363</v>
      </c>
      <c r="B7" s="111"/>
      <c r="C7" s="111"/>
      <c r="D7" s="111"/>
      <c r="E7" s="159"/>
      <c r="F7" s="16"/>
    </row>
    <row r="8" spans="1:6" ht="15.6" x14ac:dyDescent="0.3">
      <c r="A8" s="243"/>
      <c r="B8" s="112"/>
      <c r="C8" s="112"/>
      <c r="D8" s="112"/>
      <c r="E8" s="129"/>
      <c r="F8" s="16"/>
    </row>
    <row r="9" spans="1:6" ht="15.6" x14ac:dyDescent="0.3">
      <c r="A9" s="128"/>
      <c r="B9" s="112"/>
      <c r="C9" s="112"/>
      <c r="D9" s="112"/>
      <c r="E9" s="129"/>
      <c r="F9" s="16"/>
    </row>
    <row r="10" spans="1:6" ht="15.6" x14ac:dyDescent="0.3">
      <c r="A10" s="275" t="s">
        <v>91</v>
      </c>
      <c r="B10" s="288" t="s">
        <v>104</v>
      </c>
      <c r="C10" s="112"/>
      <c r="D10" s="112"/>
      <c r="E10" s="129"/>
      <c r="F10" s="16"/>
    </row>
    <row r="11" spans="1:6" ht="15.9" customHeight="1" x14ac:dyDescent="0.3">
      <c r="A11" s="128" t="s">
        <v>102</v>
      </c>
      <c r="B11" s="244">
        <f>SUM('s104 holdings'!O44:O55)</f>
        <v>0</v>
      </c>
      <c r="C11" s="112"/>
      <c r="D11" s="112"/>
      <c r="E11" s="129"/>
      <c r="F11" s="16"/>
    </row>
    <row r="12" spans="1:6" ht="15.9" customHeight="1" x14ac:dyDescent="0.3">
      <c r="A12" s="128" t="s">
        <v>103</v>
      </c>
      <c r="B12" s="359"/>
      <c r="C12" s="112"/>
      <c r="D12" s="112"/>
      <c r="E12" s="129"/>
      <c r="F12" s="16"/>
    </row>
    <row r="13" spans="1:6" ht="15.9" customHeight="1" x14ac:dyDescent="0.3">
      <c r="A13" s="243" t="s">
        <v>41</v>
      </c>
      <c r="B13" s="295">
        <f>SUM(B11:B12)</f>
        <v>0</v>
      </c>
      <c r="C13" s="112"/>
      <c r="D13" s="112"/>
      <c r="E13" s="129"/>
      <c r="F13" s="16"/>
    </row>
    <row r="14" spans="1:6" ht="15.9" customHeight="1" x14ac:dyDescent="0.3">
      <c r="A14" s="128" t="s">
        <v>127</v>
      </c>
      <c r="B14" s="340" t="str">
        <f>IF(B13&gt;40400,"Yes, you are required to report your disposal on your tax return","No, only required to report if taxable gains more than £10,100 or elections to be made")</f>
        <v>No, only required to report if taxable gains more than £10,100 or elections to be made</v>
      </c>
      <c r="C14" s="112"/>
      <c r="D14" s="112"/>
      <c r="E14" s="129"/>
      <c r="F14" s="16"/>
    </row>
    <row r="15" spans="1:6" ht="15.6" x14ac:dyDescent="0.3">
      <c r="A15" s="128"/>
      <c r="B15" s="112"/>
      <c r="C15" s="112"/>
      <c r="D15" s="112"/>
      <c r="E15" s="129"/>
      <c r="F15" s="16"/>
    </row>
    <row r="16" spans="1:6" ht="15.6" x14ac:dyDescent="0.3">
      <c r="A16" s="128"/>
      <c r="B16" s="112"/>
      <c r="C16" s="112"/>
      <c r="D16" s="112"/>
      <c r="E16" s="129"/>
      <c r="F16" s="16"/>
    </row>
    <row r="17" spans="1:6" ht="15.6" x14ac:dyDescent="0.3">
      <c r="A17" s="275" t="s">
        <v>43</v>
      </c>
      <c r="B17" s="288" t="s">
        <v>37</v>
      </c>
      <c r="C17" s="112"/>
      <c r="D17" s="112"/>
      <c r="E17" s="129"/>
      <c r="F17" s="16"/>
    </row>
    <row r="18" spans="1:6" ht="15.9" customHeight="1" x14ac:dyDescent="0.3">
      <c r="A18" s="128" t="str">
        <f>A11</f>
        <v>From PA share sales per s104 Holdings sheet</v>
      </c>
      <c r="B18" s="244">
        <f>SUM('s104 holdings'!P44:P55)</f>
        <v>0</v>
      </c>
      <c r="C18" s="112"/>
      <c r="D18" s="112"/>
      <c r="E18" s="129"/>
      <c r="F18" s="16"/>
    </row>
    <row r="19" spans="1:6" ht="15.9" customHeight="1" x14ac:dyDescent="0.3">
      <c r="A19" s="128" t="str">
        <f>A12</f>
        <v>Any non-PA chargeable sales you made</v>
      </c>
      <c r="B19" s="294"/>
      <c r="C19" s="112"/>
      <c r="D19" s="112"/>
      <c r="E19" s="129"/>
      <c r="F19" s="16"/>
    </row>
    <row r="20" spans="1:6" ht="15.9" customHeight="1" x14ac:dyDescent="0.3">
      <c r="A20" s="243" t="s">
        <v>36</v>
      </c>
      <c r="B20" s="295">
        <f>SUM(B18:B19)</f>
        <v>0</v>
      </c>
      <c r="C20" s="112"/>
      <c r="D20" s="112"/>
      <c r="E20" s="129"/>
      <c r="F20" s="16"/>
    </row>
    <row r="21" spans="1:6" ht="15.9" customHeight="1" x14ac:dyDescent="0.3">
      <c r="A21" s="128" t="s">
        <v>79</v>
      </c>
      <c r="B21" s="294"/>
      <c r="C21" s="296" t="str">
        <f>IF(-B21&gt;B20,"Losses c/f","")</f>
        <v/>
      </c>
      <c r="D21" s="244" t="str">
        <f>IF(C21="","",-SUM(B20:B21))</f>
        <v/>
      </c>
      <c r="E21" s="129"/>
      <c r="F21" s="16"/>
    </row>
    <row r="22" spans="1:6" ht="15.9" customHeight="1" x14ac:dyDescent="0.3">
      <c r="A22" s="243" t="s">
        <v>44</v>
      </c>
      <c r="B22" s="297">
        <f>MAX(0,SUM(B20:B21))</f>
        <v>0</v>
      </c>
      <c r="C22" s="112"/>
      <c r="D22" s="112"/>
      <c r="E22" s="129"/>
      <c r="F22" s="16"/>
    </row>
    <row r="23" spans="1:6" ht="15.9" customHeight="1" x14ac:dyDescent="0.3">
      <c r="A23" s="128" t="s">
        <v>45</v>
      </c>
      <c r="B23" s="347">
        <v>-10100</v>
      </c>
      <c r="C23" s="112"/>
      <c r="D23" s="112"/>
      <c r="E23" s="129"/>
      <c r="F23" s="16"/>
    </row>
    <row r="24" spans="1:6" ht="15.9" customHeight="1" x14ac:dyDescent="0.3">
      <c r="A24" s="243" t="s">
        <v>46</v>
      </c>
      <c r="B24" s="295">
        <f>MAX(0,SUM(B22:B23))</f>
        <v>0</v>
      </c>
      <c r="C24" s="112"/>
      <c r="D24" s="112"/>
      <c r="E24" s="129"/>
      <c r="F24" s="16"/>
    </row>
    <row r="25" spans="1:6" ht="15.9" customHeight="1" x14ac:dyDescent="0.3">
      <c r="A25" s="128" t="s">
        <v>128</v>
      </c>
      <c r="B25" s="340" t="str">
        <f>IF(B24&gt;0,"Yes, you must report your gains on your tax return","No, you only need report gains where total sales &gt; 4 x £10,100 exemption or elections being made")</f>
        <v>No, you only need report gains where total sales &gt; 4 x £10,100 exemption or elections being made</v>
      </c>
      <c r="C25" s="112"/>
      <c r="D25" s="112"/>
      <c r="E25" s="129"/>
      <c r="F25" s="16"/>
    </row>
    <row r="26" spans="1:6" ht="15.9" customHeight="1" x14ac:dyDescent="0.3">
      <c r="A26" s="298" t="str">
        <f>IF(B24&gt;0,"Tax @28% due by 31 January 2012 on your gains:","")</f>
        <v/>
      </c>
      <c r="B26" s="299" t="str">
        <f>IF(A26="","",ROUND(B24*28%,2))</f>
        <v/>
      </c>
      <c r="C26" s="112"/>
      <c r="D26" s="112"/>
      <c r="E26" s="129"/>
      <c r="F26" s="16"/>
    </row>
    <row r="27" spans="1:6" ht="16.2" thickBot="1" x14ac:dyDescent="0.35">
      <c r="A27" s="300" t="str">
        <f>IF(B24&gt;0,"Above assumes that your gains were all made after June 2010 and you are a higher rate taxpayer.  If this is not the case, you may need only pay 18% CGT rate","")</f>
        <v/>
      </c>
      <c r="B27" s="148"/>
      <c r="C27" s="148"/>
      <c r="D27" s="148"/>
      <c r="E27" s="150"/>
      <c r="F27" s="16"/>
    </row>
    <row r="28" spans="1:6" ht="15.6" x14ac:dyDescent="0.3">
      <c r="A28" s="25"/>
      <c r="B28" s="25"/>
      <c r="C28" s="25"/>
      <c r="D28" s="25"/>
      <c r="E28" s="25"/>
      <c r="F28" s="16"/>
    </row>
    <row r="29" spans="1:6" ht="15.6" x14ac:dyDescent="0.3">
      <c r="A29" s="20" t="s">
        <v>72</v>
      </c>
      <c r="B29" s="25"/>
      <c r="C29" s="25"/>
      <c r="D29" s="25"/>
      <c r="E29" s="25"/>
      <c r="F29" s="16"/>
    </row>
    <row r="30" spans="1:6" ht="15.6" x14ac:dyDescent="0.3">
      <c r="A30" s="25"/>
      <c r="B30" s="25"/>
      <c r="C30" s="25"/>
      <c r="D30" s="25"/>
      <c r="E30" s="25"/>
      <c r="F30" s="16"/>
    </row>
    <row r="31" spans="1:6" ht="16.2" thickBot="1" x14ac:dyDescent="0.35">
      <c r="A31" s="25"/>
      <c r="B31" s="25"/>
      <c r="C31" s="25"/>
      <c r="D31" s="25"/>
      <c r="E31" s="25"/>
      <c r="F31" s="16"/>
    </row>
    <row r="32" spans="1:6" ht="16.2" thickTop="1" x14ac:dyDescent="0.3">
      <c r="A32" s="399" t="s">
        <v>135</v>
      </c>
      <c r="B32" s="360"/>
      <c r="C32" s="360"/>
      <c r="D32" s="360"/>
      <c r="E32" s="361"/>
      <c r="F32" s="16"/>
    </row>
    <row r="33" spans="1:6" ht="16.5" customHeight="1" x14ac:dyDescent="0.3">
      <c r="A33" s="357"/>
      <c r="B33" s="112"/>
      <c r="C33" s="112"/>
      <c r="D33" s="112"/>
      <c r="E33" s="362"/>
      <c r="F33" s="16"/>
    </row>
    <row r="34" spans="1:6" ht="15.6" x14ac:dyDescent="0.3">
      <c r="A34" s="363" t="s">
        <v>90</v>
      </c>
      <c r="B34" s="112"/>
      <c r="C34" s="112"/>
      <c r="D34" s="112"/>
      <c r="E34" s="362"/>
      <c r="F34" s="16" t="s">
        <v>244</v>
      </c>
    </row>
    <row r="35" spans="1:6" ht="15.6" x14ac:dyDescent="0.3">
      <c r="A35" s="363" t="s">
        <v>364</v>
      </c>
      <c r="B35" s="112"/>
      <c r="C35" s="112"/>
      <c r="D35" s="112"/>
      <c r="E35" s="362"/>
      <c r="F35" s="16"/>
    </row>
    <row r="36" spans="1:6" ht="15.6" x14ac:dyDescent="0.3">
      <c r="A36" s="364"/>
      <c r="B36" s="112"/>
      <c r="C36" s="112"/>
      <c r="D36" s="112"/>
      <c r="E36" s="362"/>
      <c r="F36" s="16"/>
    </row>
    <row r="37" spans="1:6" ht="15.6" x14ac:dyDescent="0.3">
      <c r="A37" s="365" t="s">
        <v>245</v>
      </c>
      <c r="B37" s="288" t="s">
        <v>53</v>
      </c>
      <c r="C37" s="366" t="s">
        <v>55</v>
      </c>
      <c r="D37" s="366" t="s">
        <v>54</v>
      </c>
      <c r="E37" s="367" t="s">
        <v>56</v>
      </c>
      <c r="F37" s="16"/>
    </row>
    <row r="38" spans="1:6" ht="15.6" x14ac:dyDescent="0.3">
      <c r="A38" s="364" t="str">
        <f t="shared" ref="A38:A42" si="0">IF(C38="","","PA Consulting Group Limited 10 pence Ordinary Shares")</f>
        <v/>
      </c>
      <c r="B38" s="368" t="str">
        <f>IF(A38="","",'s104 holdings'!C44)</f>
        <v/>
      </c>
      <c r="C38" s="122" t="str">
        <f>IF('s104 holdings'!F44&lt;&gt;0,-'s104 holdings'!F44,"")</f>
        <v/>
      </c>
      <c r="D38" s="121" t="str">
        <f>IF(C38="","",'s104 holdings'!O44)</f>
        <v/>
      </c>
      <c r="E38" s="369" t="str">
        <f>IF(D38="","",'s104 holdings'!P44)</f>
        <v/>
      </c>
      <c r="F38" s="16"/>
    </row>
    <row r="39" spans="1:6" ht="15.6" x14ac:dyDescent="0.3">
      <c r="A39" s="364" t="str">
        <f t="shared" si="0"/>
        <v/>
      </c>
      <c r="B39" s="368" t="str">
        <f>IF(A39="","",'s104 holdings'!C46)</f>
        <v/>
      </c>
      <c r="C39" s="122" t="str">
        <f>IF('s104 holdings'!F46&lt;&gt;0,-'s104 holdings'!F46,"")</f>
        <v/>
      </c>
      <c r="D39" s="121" t="str">
        <f>IF(C39="","",'s104 holdings'!O46)</f>
        <v/>
      </c>
      <c r="E39" s="369" t="str">
        <f>IF(C39="","",'s104 holdings'!P46)</f>
        <v/>
      </c>
      <c r="F39" s="358" t="str">
        <f>IF(C39="","","This is your share transfer")</f>
        <v/>
      </c>
    </row>
    <row r="40" spans="1:6" ht="15.6" x14ac:dyDescent="0.3">
      <c r="A40" s="364" t="str">
        <f t="shared" si="0"/>
        <v/>
      </c>
      <c r="B40" s="368" t="str">
        <f>IF(A40="","",'s104 holdings'!C48)</f>
        <v/>
      </c>
      <c r="C40" s="122" t="str">
        <f>IF('s104 holdings'!F48&lt;&gt;0,-'s104 holdings'!F48,"")</f>
        <v/>
      </c>
      <c r="D40" s="121" t="str">
        <f>IF(C40="","",'s104 holdings'!O48)</f>
        <v/>
      </c>
      <c r="E40" s="369" t="str">
        <f>IF(D40="","",'s104 holdings'!P48)</f>
        <v/>
      </c>
      <c r="F40" s="358"/>
    </row>
    <row r="41" spans="1:6" ht="15.6" x14ac:dyDescent="0.3">
      <c r="A41" s="364" t="str">
        <f t="shared" si="0"/>
        <v/>
      </c>
      <c r="B41" s="368" t="str">
        <f>IF(A41="","",'s104 holdings'!C50)</f>
        <v/>
      </c>
      <c r="C41" s="122" t="str">
        <f>IF('s104 holdings'!F50&lt;&gt;0,-'s104 holdings'!F50,"")</f>
        <v/>
      </c>
      <c r="D41" s="121" t="str">
        <f>IF(C41="","",'s104 holdings'!O50)</f>
        <v/>
      </c>
      <c r="E41" s="369" t="str">
        <f>IF(D41="","",'s104 holdings'!P50)</f>
        <v/>
      </c>
      <c r="F41" s="19"/>
    </row>
    <row r="42" spans="1:6" ht="15.6" x14ac:dyDescent="0.3">
      <c r="A42" s="364" t="str">
        <f t="shared" si="0"/>
        <v/>
      </c>
      <c r="B42" s="368" t="str">
        <f>IF(A42="","",'s104 holdings'!C51)</f>
        <v/>
      </c>
      <c r="C42" s="122" t="str">
        <f>IF('s104 holdings'!F51&lt;&gt;0,-'s104 holdings'!F51,"")</f>
        <v/>
      </c>
      <c r="D42" s="121" t="str">
        <f>IF(C42="","",'s104 holdings'!O51)</f>
        <v/>
      </c>
      <c r="E42" s="369" t="str">
        <f>IF(D42="","",'s104 holdings'!P51)</f>
        <v/>
      </c>
      <c r="F42" s="19"/>
    </row>
    <row r="43" spans="1:6" ht="15.6" x14ac:dyDescent="0.3">
      <c r="A43" s="364" t="str">
        <f>IF(C43="","","PA Consulting Group Limited 10 pence Ordinary Shares")</f>
        <v/>
      </c>
      <c r="B43" s="368" t="str">
        <f>IF(A43="","",'s104 holdings'!C54)</f>
        <v/>
      </c>
      <c r="C43" s="122" t="str">
        <f>IF('s104 holdings'!F54&lt;&gt;0,-'s104 holdings'!F54,"")</f>
        <v/>
      </c>
      <c r="D43" s="121" t="str">
        <f>IF(C43="","",'s104 holdings'!O54)</f>
        <v/>
      </c>
      <c r="E43" s="369" t="str">
        <f>IF(D43="","",'s104 holdings'!P54)</f>
        <v/>
      </c>
      <c r="F43" s="19"/>
    </row>
    <row r="44" spans="1:6" ht="15.6" x14ac:dyDescent="0.3">
      <c r="A44" s="364" t="str">
        <f>IF(C44="","","PA Consulting Group Limited 10 pence Ordinary Shares")</f>
        <v/>
      </c>
      <c r="B44" s="368" t="str">
        <f>IF(A44="","",'s104 holdings'!C55)</f>
        <v/>
      </c>
      <c r="C44" s="122" t="str">
        <f>IF('s104 holdings'!K55&lt;&gt;0,-'s104 holdings'!K55,"")</f>
        <v/>
      </c>
      <c r="D44" s="121" t="str">
        <f>IF(C44="","",'s104 holdings'!O55)</f>
        <v/>
      </c>
      <c r="E44" s="369" t="str">
        <f>IF(D44="","",'s104 holdings'!P55)</f>
        <v/>
      </c>
      <c r="F44" s="19"/>
    </row>
    <row r="45" spans="1:6" ht="23.25" customHeight="1" x14ac:dyDescent="0.3">
      <c r="A45" s="364" t="s">
        <v>63</v>
      </c>
      <c r="B45" s="318"/>
      <c r="C45" s="319"/>
      <c r="D45" s="371">
        <f>SUM(D38:D44)</f>
        <v>0</v>
      </c>
      <c r="E45" s="372">
        <f>SUM(E38:E44)</f>
        <v>0</v>
      </c>
      <c r="F45" s="19"/>
    </row>
    <row r="46" spans="1:6" ht="16.2" thickBot="1" x14ac:dyDescent="0.35">
      <c r="A46" s="373"/>
      <c r="B46" s="374"/>
      <c r="C46" s="375"/>
      <c r="D46" s="376"/>
      <c r="E46" s="377"/>
      <c r="F46" s="19"/>
    </row>
    <row r="47" spans="1:6" ht="16.2" thickTop="1" x14ac:dyDescent="0.3">
      <c r="A47" s="112"/>
      <c r="B47" s="318"/>
      <c r="C47" s="319"/>
      <c r="D47" s="320"/>
      <c r="E47" s="321"/>
      <c r="F47" s="19"/>
    </row>
    <row r="48" spans="1:6" ht="15.6" x14ac:dyDescent="0.3">
      <c r="A48" s="112"/>
      <c r="B48" s="318"/>
      <c r="C48" s="319"/>
      <c r="D48" s="320"/>
      <c r="E48" s="321"/>
      <c r="F48" s="19"/>
    </row>
    <row r="49" spans="1:6" ht="15.6" x14ac:dyDescent="0.3">
      <c r="A49" s="112"/>
      <c r="B49" s="318"/>
      <c r="C49" s="319"/>
      <c r="D49" s="320"/>
      <c r="E49" s="321"/>
      <c r="F49" s="19"/>
    </row>
    <row r="50" spans="1:6" ht="15.6" x14ac:dyDescent="0.3">
      <c r="A50" s="112"/>
      <c r="B50" s="318"/>
      <c r="C50" s="319"/>
      <c r="D50" s="320"/>
      <c r="E50" s="321"/>
      <c r="F50" s="19"/>
    </row>
    <row r="51" spans="1:6" ht="16.2" thickBot="1" x14ac:dyDescent="0.35">
      <c r="A51" s="25"/>
      <c r="B51" s="334"/>
      <c r="C51" s="335"/>
      <c r="D51" s="332"/>
      <c r="E51" s="333"/>
      <c r="F51" s="19"/>
    </row>
    <row r="52" spans="1:6" ht="16.2" thickTop="1" x14ac:dyDescent="0.3">
      <c r="A52" s="399" t="s">
        <v>136</v>
      </c>
      <c r="B52" s="378"/>
      <c r="C52" s="379"/>
      <c r="D52" s="380"/>
      <c r="E52" s="381"/>
      <c r="F52" s="19"/>
    </row>
    <row r="53" spans="1:6" ht="15.6" x14ac:dyDescent="0.3">
      <c r="A53" s="363" t="s">
        <v>75</v>
      </c>
      <c r="B53" s="318"/>
      <c r="C53" s="319"/>
      <c r="D53" s="320"/>
      <c r="E53" s="382"/>
      <c r="F53" s="19"/>
    </row>
    <row r="54" spans="1:6" ht="15.6" x14ac:dyDescent="0.3">
      <c r="A54" s="364"/>
      <c r="B54" s="318"/>
      <c r="C54" s="319"/>
      <c r="D54" s="320"/>
      <c r="E54" s="382"/>
      <c r="F54" s="19"/>
    </row>
    <row r="55" spans="1:6" ht="15.6" x14ac:dyDescent="0.3">
      <c r="A55" s="357" t="s">
        <v>73</v>
      </c>
      <c r="B55" s="318"/>
      <c r="C55" s="319"/>
      <c r="D55" s="320"/>
      <c r="E55" s="382"/>
      <c r="F55" s="19"/>
    </row>
    <row r="56" spans="1:6" ht="15.6" x14ac:dyDescent="0.3">
      <c r="A56" s="357"/>
      <c r="B56" s="318"/>
      <c r="C56" s="319"/>
      <c r="D56" s="320"/>
      <c r="E56" s="382"/>
      <c r="F56" s="19"/>
    </row>
    <row r="57" spans="1:6" ht="15" customHeight="1" x14ac:dyDescent="0.3">
      <c r="A57" s="400" t="s">
        <v>74</v>
      </c>
      <c r="B57" s="318"/>
      <c r="C57" s="401" t="s">
        <v>76</v>
      </c>
      <c r="D57" s="402"/>
      <c r="E57" s="403"/>
      <c r="F57" s="19"/>
    </row>
    <row r="58" spans="1:6" ht="15" customHeight="1" x14ac:dyDescent="0.3">
      <c r="A58" s="383">
        <f>ROUNDDOWN(E45,0)</f>
        <v>0</v>
      </c>
      <c r="B58" s="318"/>
      <c r="C58" s="384">
        <f>MAX(0,D21)</f>
        <v>0</v>
      </c>
      <c r="D58" s="385"/>
      <c r="E58" s="386"/>
      <c r="F58" s="19"/>
    </row>
    <row r="59" spans="1:6" ht="15" customHeight="1" x14ac:dyDescent="0.3">
      <c r="A59" s="364"/>
      <c r="B59" s="320"/>
      <c r="C59" s="319"/>
      <c r="D59" s="320"/>
      <c r="E59" s="382"/>
      <c r="F59" s="19"/>
    </row>
    <row r="60" spans="1:6" ht="15" customHeight="1" x14ac:dyDescent="0.3">
      <c r="A60" s="400" t="s">
        <v>77</v>
      </c>
      <c r="B60" s="318"/>
      <c r="C60" s="401" t="s">
        <v>78</v>
      </c>
      <c r="D60" s="402"/>
      <c r="E60" s="403"/>
      <c r="F60" s="19"/>
    </row>
    <row r="61" spans="1:6" ht="15" customHeight="1" x14ac:dyDescent="0.3">
      <c r="A61" s="383">
        <v>0</v>
      </c>
      <c r="B61" s="318"/>
      <c r="C61" s="387" t="s">
        <v>80</v>
      </c>
      <c r="D61" s="388"/>
      <c r="E61" s="389"/>
      <c r="F61" s="19"/>
    </row>
    <row r="62" spans="1:6" ht="15" customHeight="1" x14ac:dyDescent="0.3">
      <c r="A62" s="364"/>
      <c r="B62" s="320"/>
      <c r="C62" s="319"/>
      <c r="D62" s="320"/>
      <c r="E62" s="382"/>
      <c r="F62" s="19"/>
    </row>
    <row r="63" spans="1:6" ht="15" customHeight="1" x14ac:dyDescent="0.3">
      <c r="A63" s="400" t="s">
        <v>82</v>
      </c>
      <c r="B63" s="318"/>
      <c r="C63" s="401" t="s">
        <v>139</v>
      </c>
      <c r="D63" s="402"/>
      <c r="E63" s="403"/>
      <c r="F63" s="19"/>
    </row>
    <row r="64" spans="1:6" ht="15" customHeight="1" x14ac:dyDescent="0.3">
      <c r="A64" s="383">
        <f>MIN(-B21,B20)</f>
        <v>0</v>
      </c>
      <c r="B64" s="318"/>
      <c r="C64" s="387" t="s">
        <v>80</v>
      </c>
      <c r="D64" s="385"/>
      <c r="E64" s="386"/>
      <c r="F64" s="19"/>
    </row>
    <row r="65" spans="1:6" ht="15.6" x14ac:dyDescent="0.3">
      <c r="A65" s="364"/>
      <c r="B65" s="112"/>
      <c r="C65" s="112"/>
      <c r="D65" s="112"/>
      <c r="E65" s="362"/>
      <c r="F65" s="16"/>
    </row>
    <row r="66" spans="1:6" ht="15" customHeight="1" x14ac:dyDescent="0.3">
      <c r="A66" s="400" t="s">
        <v>83</v>
      </c>
      <c r="B66" s="318"/>
      <c r="C66" s="401" t="s">
        <v>140</v>
      </c>
      <c r="D66" s="402"/>
      <c r="E66" s="403"/>
      <c r="F66" s="19"/>
    </row>
    <row r="67" spans="1:6" ht="15" customHeight="1" x14ac:dyDescent="0.3">
      <c r="A67" s="383">
        <f>MAX(0,A58-A61-A64)</f>
        <v>0</v>
      </c>
      <c r="B67" s="318"/>
      <c r="C67" s="387" t="s">
        <v>80</v>
      </c>
      <c r="D67" s="385"/>
      <c r="E67" s="386"/>
      <c r="F67" s="19"/>
    </row>
    <row r="68" spans="1:6" ht="15.6" x14ac:dyDescent="0.3">
      <c r="A68" s="364"/>
      <c r="B68" s="112"/>
      <c r="C68" s="112"/>
      <c r="D68" s="112"/>
      <c r="E68" s="362"/>
      <c r="F68" s="16"/>
    </row>
    <row r="69" spans="1:6" ht="15" customHeight="1" x14ac:dyDescent="0.3">
      <c r="A69" s="400" t="s">
        <v>81</v>
      </c>
      <c r="B69" s="318"/>
      <c r="C69" s="401" t="s">
        <v>141</v>
      </c>
      <c r="D69" s="402"/>
      <c r="E69" s="403"/>
      <c r="F69" s="19"/>
    </row>
    <row r="70" spans="1:6" ht="15" customHeight="1" x14ac:dyDescent="0.3">
      <c r="A70" s="383">
        <f>-B23</f>
        <v>10100</v>
      </c>
      <c r="B70" s="318"/>
      <c r="C70" s="387" t="s">
        <v>80</v>
      </c>
      <c r="D70" s="385"/>
      <c r="E70" s="386"/>
      <c r="F70" s="19"/>
    </row>
    <row r="71" spans="1:6" ht="15.6" x14ac:dyDescent="0.3">
      <c r="A71" s="364"/>
      <c r="B71" s="112"/>
      <c r="C71" s="112"/>
      <c r="D71" s="112"/>
      <c r="E71" s="362"/>
      <c r="F71" s="16"/>
    </row>
    <row r="72" spans="1:6" ht="15" customHeight="1" x14ac:dyDescent="0.3">
      <c r="A72" s="400" t="s">
        <v>84</v>
      </c>
      <c r="B72" s="318"/>
      <c r="C72" s="401" t="s">
        <v>89</v>
      </c>
      <c r="D72" s="402"/>
      <c r="E72" s="403"/>
      <c r="F72" s="19"/>
    </row>
    <row r="73" spans="1:6" ht="15" customHeight="1" x14ac:dyDescent="0.3">
      <c r="A73" s="383">
        <f>MAX(0,A67-A70)</f>
        <v>0</v>
      </c>
      <c r="B73" s="318"/>
      <c r="C73" s="387" t="s">
        <v>80</v>
      </c>
      <c r="D73" s="385"/>
      <c r="E73" s="386"/>
      <c r="F73" s="19"/>
    </row>
    <row r="74" spans="1:6" ht="15.6" x14ac:dyDescent="0.3">
      <c r="A74" s="364"/>
      <c r="B74" s="112"/>
      <c r="C74" s="112"/>
      <c r="D74" s="112"/>
      <c r="E74" s="362"/>
      <c r="F74" s="16"/>
    </row>
    <row r="75" spans="1:6" ht="15" customHeight="1" x14ac:dyDescent="0.3">
      <c r="A75" s="400" t="s">
        <v>85</v>
      </c>
      <c r="B75" s="318"/>
      <c r="C75" s="112"/>
      <c r="D75" s="112"/>
      <c r="E75" s="362"/>
      <c r="F75" s="16"/>
    </row>
    <row r="76" spans="1:6" ht="15" customHeight="1" x14ac:dyDescent="0.3">
      <c r="A76" s="390" t="s">
        <v>80</v>
      </c>
      <c r="B76" s="318"/>
      <c r="C76" s="112"/>
      <c r="D76" s="112"/>
      <c r="E76" s="362"/>
      <c r="F76" s="16"/>
    </row>
    <row r="77" spans="1:6" ht="16.2" thickBot="1" x14ac:dyDescent="0.35">
      <c r="A77" s="373"/>
      <c r="B77" s="391"/>
      <c r="C77" s="391"/>
      <c r="D77" s="391"/>
      <c r="E77" s="392"/>
      <c r="F77" s="16"/>
    </row>
    <row r="78" spans="1:6" ht="16.8" thickTop="1" thickBot="1" x14ac:dyDescent="0.35">
      <c r="A78" s="25"/>
      <c r="B78" s="25"/>
      <c r="C78" s="25"/>
      <c r="D78" s="25"/>
      <c r="E78" s="25"/>
      <c r="F78" s="16"/>
    </row>
    <row r="79" spans="1:6" ht="16.2" thickTop="1" x14ac:dyDescent="0.3">
      <c r="A79" s="399" t="s">
        <v>138</v>
      </c>
      <c r="B79" s="378"/>
      <c r="C79" s="379"/>
      <c r="D79" s="380"/>
      <c r="E79" s="381"/>
      <c r="F79" s="19"/>
    </row>
    <row r="80" spans="1:6" ht="15.6" x14ac:dyDescent="0.3">
      <c r="A80" s="364"/>
      <c r="B80" s="318"/>
      <c r="C80" s="319"/>
      <c r="D80" s="320"/>
      <c r="E80" s="382"/>
      <c r="F80" s="19"/>
    </row>
    <row r="81" spans="1:6" ht="15.6" x14ac:dyDescent="0.3">
      <c r="A81" s="357" t="s">
        <v>65</v>
      </c>
      <c r="B81" s="318"/>
      <c r="C81" s="319"/>
      <c r="D81" s="320"/>
      <c r="E81" s="382"/>
      <c r="F81" s="19"/>
    </row>
    <row r="82" spans="1:6" ht="15.6" x14ac:dyDescent="0.3">
      <c r="A82" s="357"/>
      <c r="B82" s="318"/>
      <c r="C82" s="319"/>
      <c r="D82" s="320"/>
      <c r="E82" s="382"/>
      <c r="F82" s="19"/>
    </row>
    <row r="83" spans="1:6" ht="15" customHeight="1" x14ac:dyDescent="0.3">
      <c r="A83" s="400" t="s">
        <v>64</v>
      </c>
      <c r="B83" s="318"/>
      <c r="C83" s="401" t="s">
        <v>66</v>
      </c>
      <c r="D83" s="402"/>
      <c r="E83" s="403"/>
      <c r="F83" s="19"/>
    </row>
    <row r="84" spans="1:6" ht="15" customHeight="1" x14ac:dyDescent="0.3">
      <c r="A84" s="393">
        <f>COUNT(C38:C44)</f>
        <v>0</v>
      </c>
      <c r="B84" s="318"/>
      <c r="C84" s="394">
        <f>ROUNDDOWN(E45,0)</f>
        <v>0</v>
      </c>
      <c r="D84" s="385"/>
      <c r="E84" s="386"/>
      <c r="F84" s="19"/>
    </row>
    <row r="85" spans="1:6" ht="15" customHeight="1" x14ac:dyDescent="0.3">
      <c r="A85" s="364"/>
      <c r="B85" s="320"/>
      <c r="C85" s="319"/>
      <c r="D85" s="320"/>
      <c r="E85" s="382"/>
      <c r="F85" s="19"/>
    </row>
    <row r="86" spans="1:6" ht="15" customHeight="1" x14ac:dyDescent="0.3">
      <c r="A86" s="400" t="s">
        <v>67</v>
      </c>
      <c r="B86" s="318"/>
      <c r="C86" s="401" t="s">
        <v>68</v>
      </c>
      <c r="D86" s="402"/>
      <c r="E86" s="403"/>
      <c r="F86" s="19"/>
    </row>
    <row r="87" spans="1:6" ht="15" customHeight="1" x14ac:dyDescent="0.3">
      <c r="A87" s="395">
        <f>ROUNDDOWN(D45,0)</f>
        <v>0</v>
      </c>
      <c r="B87" s="318"/>
      <c r="C87" s="394" t="s">
        <v>69</v>
      </c>
      <c r="D87" s="385"/>
      <c r="E87" s="386"/>
      <c r="F87" s="19"/>
    </row>
    <row r="88" spans="1:6" ht="15" customHeight="1" x14ac:dyDescent="0.3">
      <c r="A88" s="364"/>
      <c r="B88" s="320"/>
      <c r="C88" s="319"/>
      <c r="D88" s="320"/>
      <c r="E88" s="382"/>
      <c r="F88" s="19"/>
    </row>
    <row r="89" spans="1:6" ht="15" customHeight="1" x14ac:dyDescent="0.3">
      <c r="A89" s="400" t="s">
        <v>70</v>
      </c>
      <c r="B89" s="318"/>
      <c r="C89" s="401" t="s">
        <v>71</v>
      </c>
      <c r="D89" s="402"/>
      <c r="E89" s="403"/>
      <c r="F89" s="19"/>
    </row>
    <row r="90" spans="1:6" ht="15" customHeight="1" x14ac:dyDescent="0.3">
      <c r="A90" s="395">
        <f>D45-E45</f>
        <v>0</v>
      </c>
      <c r="B90" s="318"/>
      <c r="C90" s="394" t="s">
        <v>69</v>
      </c>
      <c r="D90" s="385"/>
      <c r="E90" s="386"/>
      <c r="F90" s="19"/>
    </row>
    <row r="91" spans="1:6" ht="15.6" x14ac:dyDescent="0.3">
      <c r="A91" s="364"/>
      <c r="B91" s="112"/>
      <c r="C91" s="112"/>
      <c r="D91" s="112"/>
      <c r="E91" s="362"/>
      <c r="F91" s="16"/>
    </row>
    <row r="92" spans="1:6" ht="15.6" thickBot="1" x14ac:dyDescent="0.3">
      <c r="A92" s="396"/>
      <c r="B92" s="397"/>
      <c r="C92" s="397"/>
      <c r="D92" s="397"/>
      <c r="E92" s="398"/>
    </row>
    <row r="93" spans="1:6" ht="13.8" thickTop="1" x14ac:dyDescent="0.25"/>
  </sheetData>
  <phoneticPr fontId="3" type="noConversion"/>
  <hyperlinks>
    <hyperlink ref="A5" r:id="rId1" xr:uid="{00000000-0004-0000-0A00-000000000000}"/>
    <hyperlink ref="C5" r:id="rId2" xr:uid="{00000000-0004-0000-0A00-000001000000}"/>
  </hyperlinks>
  <printOptions horizontalCentered="1"/>
  <pageMargins left="0.27559055118110237" right="0.23622047244094491" top="0.98425196850393704" bottom="5.393700787401575" header="0.51181102362204722" footer="0.51181102362204722"/>
  <pageSetup paperSize="9" scale="65" fitToHeight="3" orientation="portrait" r:id="rId3"/>
  <headerFooter alignWithMargins="0">
    <oddFooter>&amp;C&amp;"Arial,Bold"&amp;12 2008/09 Tax Return Reporting</oddFooter>
  </headerFooter>
  <rowBreaks count="1" manualBreakCount="1">
    <brk id="5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95"/>
  <sheetViews>
    <sheetView zoomScaleNormal="100" zoomScaleSheetLayoutView="100" workbookViewId="0"/>
  </sheetViews>
  <sheetFormatPr defaultRowHeight="13.2" x14ac:dyDescent="0.25"/>
  <cols>
    <col min="1" max="1" width="56.5546875" customWidth="1"/>
    <col min="2" max="2" width="20" customWidth="1"/>
    <col min="3" max="3" width="15.88671875" customWidth="1"/>
    <col min="4" max="4" width="16.6640625" customWidth="1"/>
    <col min="5" max="5" width="55.33203125" customWidth="1"/>
    <col min="6" max="6" width="35.88671875" customWidth="1"/>
  </cols>
  <sheetData>
    <row r="1" spans="1:6" ht="21" x14ac:dyDescent="0.4">
      <c r="A1" s="101" t="s">
        <v>126</v>
      </c>
      <c r="B1" s="25"/>
      <c r="C1" s="25"/>
      <c r="D1" s="25"/>
      <c r="E1" s="25"/>
    </row>
    <row r="2" spans="1:6" ht="16.2" thickBot="1" x14ac:dyDescent="0.35">
      <c r="A2" s="21"/>
      <c r="B2" s="25"/>
      <c r="C2" s="25"/>
      <c r="D2" s="25"/>
      <c r="E2" s="25"/>
    </row>
    <row r="3" spans="1:6" ht="15.6" x14ac:dyDescent="0.3">
      <c r="A3" s="197" t="s">
        <v>114</v>
      </c>
      <c r="B3" s="202"/>
      <c r="C3" s="202"/>
      <c r="D3" s="202"/>
      <c r="E3" s="203"/>
    </row>
    <row r="4" spans="1:6" ht="15.6" x14ac:dyDescent="0.3">
      <c r="A4" s="223" t="s">
        <v>115</v>
      </c>
      <c r="B4" s="238"/>
      <c r="C4" s="238"/>
      <c r="D4" s="238"/>
      <c r="E4" s="220"/>
    </row>
    <row r="5" spans="1:6" ht="16.2" thickBot="1" x14ac:dyDescent="0.35">
      <c r="A5" s="338" t="s">
        <v>49</v>
      </c>
      <c r="B5" s="226" t="s">
        <v>50</v>
      </c>
      <c r="C5" s="339" t="s">
        <v>51</v>
      </c>
      <c r="D5" s="226"/>
      <c r="E5" s="227"/>
    </row>
    <row r="6" spans="1:6" ht="16.2" thickBot="1" x14ac:dyDescent="0.35">
      <c r="A6" s="21"/>
      <c r="B6" s="25"/>
      <c r="C6" s="25"/>
      <c r="D6" s="25"/>
      <c r="E6" s="25"/>
    </row>
    <row r="7" spans="1:6" ht="15.6" x14ac:dyDescent="0.3">
      <c r="A7" s="274" t="s">
        <v>363</v>
      </c>
      <c r="B7" s="111"/>
      <c r="C7" s="111"/>
      <c r="D7" s="111"/>
      <c r="E7" s="159"/>
      <c r="F7" s="25"/>
    </row>
    <row r="8" spans="1:6" ht="15.6" x14ac:dyDescent="0.3">
      <c r="A8" s="243"/>
      <c r="B8" s="112"/>
      <c r="C8" s="112"/>
      <c r="D8" s="112"/>
      <c r="E8" s="129"/>
      <c r="F8" s="25"/>
    </row>
    <row r="9" spans="1:6" ht="15.6" x14ac:dyDescent="0.3">
      <c r="A9" s="128"/>
      <c r="B9" s="112"/>
      <c r="C9" s="112"/>
      <c r="D9" s="112"/>
      <c r="E9" s="129"/>
      <c r="F9" s="25"/>
    </row>
    <row r="10" spans="1:6" ht="15.6" x14ac:dyDescent="0.3">
      <c r="A10" s="275" t="s">
        <v>91</v>
      </c>
      <c r="B10" s="288" t="s">
        <v>104</v>
      </c>
      <c r="C10" s="112"/>
      <c r="D10" s="112"/>
      <c r="E10" s="129"/>
      <c r="F10" s="25"/>
    </row>
    <row r="11" spans="1:6" ht="15.9" customHeight="1" x14ac:dyDescent="0.3">
      <c r="A11" s="128" t="s">
        <v>102</v>
      </c>
      <c r="B11" s="244">
        <f>SUM('s104 holdings'!O29:O41)</f>
        <v>0</v>
      </c>
      <c r="C11" s="112"/>
      <c r="D11" s="112"/>
      <c r="E11" s="129"/>
      <c r="F11" s="25"/>
    </row>
    <row r="12" spans="1:6" ht="15.9" customHeight="1" x14ac:dyDescent="0.3">
      <c r="A12" s="128" t="s">
        <v>103</v>
      </c>
      <c r="B12" s="294"/>
      <c r="C12" s="112"/>
      <c r="D12" s="112"/>
      <c r="E12" s="129"/>
      <c r="F12" s="25"/>
    </row>
    <row r="13" spans="1:6" ht="15.9" customHeight="1" x14ac:dyDescent="0.3">
      <c r="A13" s="243" t="s">
        <v>41</v>
      </c>
      <c r="B13" s="295">
        <f>SUM(B11:B12)</f>
        <v>0</v>
      </c>
      <c r="C13" s="112"/>
      <c r="D13" s="112"/>
      <c r="E13" s="129"/>
      <c r="F13" s="25"/>
    </row>
    <row r="14" spans="1:6" ht="15.9" customHeight="1" x14ac:dyDescent="0.3">
      <c r="A14" s="128" t="s">
        <v>127</v>
      </c>
      <c r="B14" s="340" t="str">
        <f>IF(B13&gt;40400,"Yes, you are required to report your disposal on your tax return","No, only required to report if taxable gains more than £10,100 or elections to be made")</f>
        <v>No, only required to report if taxable gains more than £10,100 or elections to be made</v>
      </c>
      <c r="C14" s="112"/>
      <c r="D14" s="112"/>
      <c r="E14" s="129"/>
      <c r="F14" s="25"/>
    </row>
    <row r="15" spans="1:6" ht="15.6" x14ac:dyDescent="0.3">
      <c r="A15" s="128"/>
      <c r="B15" s="112"/>
      <c r="C15" s="112"/>
      <c r="D15" s="112"/>
      <c r="E15" s="129"/>
      <c r="F15" s="25"/>
    </row>
    <row r="16" spans="1:6" ht="15.6" x14ac:dyDescent="0.3">
      <c r="A16" s="128"/>
      <c r="B16" s="112"/>
      <c r="C16" s="112"/>
      <c r="D16" s="112"/>
      <c r="E16" s="129"/>
      <c r="F16" s="25"/>
    </row>
    <row r="17" spans="1:6" ht="15.6" x14ac:dyDescent="0.3">
      <c r="A17" s="275" t="s">
        <v>43</v>
      </c>
      <c r="B17" s="288" t="s">
        <v>37</v>
      </c>
      <c r="C17" s="112"/>
      <c r="D17" s="112"/>
      <c r="E17" s="129"/>
      <c r="F17" s="25"/>
    </row>
    <row r="18" spans="1:6" ht="15.9" customHeight="1" x14ac:dyDescent="0.3">
      <c r="A18" s="128" t="str">
        <f>A11</f>
        <v>From PA share sales per s104 Holdings sheet</v>
      </c>
      <c r="B18" s="244">
        <f>SUM('s104 holdings'!P29:P41)</f>
        <v>0</v>
      </c>
      <c r="C18" s="112"/>
      <c r="D18" s="112"/>
      <c r="E18" s="129"/>
      <c r="F18" s="25"/>
    </row>
    <row r="19" spans="1:6" ht="15.9" customHeight="1" x14ac:dyDescent="0.3">
      <c r="A19" s="128" t="str">
        <f>A12</f>
        <v>Any non-PA chargeable sales you made</v>
      </c>
      <c r="B19" s="294"/>
      <c r="C19" s="112"/>
      <c r="D19" s="112"/>
      <c r="E19" s="129"/>
      <c r="F19" s="25"/>
    </row>
    <row r="20" spans="1:6" ht="15.9" customHeight="1" x14ac:dyDescent="0.3">
      <c r="A20" s="243" t="s">
        <v>36</v>
      </c>
      <c r="B20" s="295">
        <f>SUM(B18:B19)</f>
        <v>0</v>
      </c>
      <c r="C20" s="112"/>
      <c r="D20" s="112"/>
      <c r="E20" s="129"/>
      <c r="F20" s="25"/>
    </row>
    <row r="21" spans="1:6" ht="15.9" customHeight="1" x14ac:dyDescent="0.3">
      <c r="A21" s="128" t="s">
        <v>79</v>
      </c>
      <c r="B21" s="294"/>
      <c r="C21" s="296" t="str">
        <f>IF(-B21&gt;B20,"Losses c/f","")</f>
        <v/>
      </c>
      <c r="D21" s="244" t="str">
        <f>IF(C21="","",-SUM(B20:B21))</f>
        <v/>
      </c>
      <c r="E21" s="129"/>
      <c r="F21" s="25"/>
    </row>
    <row r="22" spans="1:6" ht="15.9" customHeight="1" x14ac:dyDescent="0.3">
      <c r="A22" s="243" t="s">
        <v>44</v>
      </c>
      <c r="B22" s="297">
        <f>MAX(0,SUM(B20:B21))</f>
        <v>0</v>
      </c>
      <c r="C22" s="112"/>
      <c r="D22" s="112"/>
      <c r="E22" s="129"/>
      <c r="F22" s="25"/>
    </row>
    <row r="23" spans="1:6" ht="15.9" customHeight="1" x14ac:dyDescent="0.3">
      <c r="A23" s="128" t="s">
        <v>45</v>
      </c>
      <c r="B23" s="347">
        <v>-10100</v>
      </c>
      <c r="C23" s="112"/>
      <c r="D23" s="112"/>
      <c r="E23" s="129"/>
      <c r="F23" s="25"/>
    </row>
    <row r="24" spans="1:6" ht="15.9" customHeight="1" x14ac:dyDescent="0.3">
      <c r="A24" s="243" t="s">
        <v>46</v>
      </c>
      <c r="B24" s="295">
        <f>MAX(0,SUM(B22:B23))</f>
        <v>0</v>
      </c>
      <c r="C24" s="112"/>
      <c r="D24" s="112"/>
      <c r="E24" s="129"/>
      <c r="F24" s="25"/>
    </row>
    <row r="25" spans="1:6" ht="15.9" customHeight="1" x14ac:dyDescent="0.3">
      <c r="A25" s="128" t="s">
        <v>128</v>
      </c>
      <c r="B25" s="340" t="str">
        <f>IF(B24&gt;0,"Yes, you must report your gains on your tax return","No, you only need report gains where total sales &gt; 4 x £10,100 exemption or elections being made")</f>
        <v>No, you only need report gains where total sales &gt; 4 x £10,100 exemption or elections being made</v>
      </c>
      <c r="C25" s="112"/>
      <c r="D25" s="112"/>
      <c r="E25" s="129"/>
      <c r="F25" s="25"/>
    </row>
    <row r="26" spans="1:6" ht="15.9" customHeight="1" x14ac:dyDescent="0.3">
      <c r="A26" s="298" t="str">
        <f>IF(B24&gt;0,"Tax @18% due by 31 January 2011 on your gains:","")</f>
        <v/>
      </c>
      <c r="B26" s="299" t="str">
        <f>IF(A26="","",ROUND(B24*18%,2))</f>
        <v/>
      </c>
      <c r="C26" s="112"/>
      <c r="D26" s="112"/>
      <c r="E26" s="129"/>
      <c r="F26" s="25"/>
    </row>
    <row r="27" spans="1:6" ht="16.2" thickBot="1" x14ac:dyDescent="0.35">
      <c r="A27" s="147"/>
      <c r="B27" s="148"/>
      <c r="C27" s="148"/>
      <c r="D27" s="148"/>
      <c r="E27" s="150"/>
      <c r="F27" s="25"/>
    </row>
    <row r="28" spans="1:6" ht="15.6" x14ac:dyDescent="0.3">
      <c r="A28" s="25"/>
      <c r="B28" s="25"/>
      <c r="C28" s="25"/>
      <c r="D28" s="25"/>
      <c r="E28" s="25"/>
      <c r="F28" s="25"/>
    </row>
    <row r="29" spans="1:6" ht="15.6" x14ac:dyDescent="0.3">
      <c r="A29" s="20" t="s">
        <v>72</v>
      </c>
      <c r="B29" s="25"/>
      <c r="C29" s="25"/>
      <c r="D29" s="25"/>
      <c r="E29" s="25"/>
      <c r="F29" s="25"/>
    </row>
    <row r="30" spans="1:6" ht="15.6" x14ac:dyDescent="0.3">
      <c r="A30" s="25"/>
      <c r="B30" s="25"/>
      <c r="C30" s="25"/>
      <c r="D30" s="25"/>
      <c r="E30" s="25"/>
      <c r="F30" s="25"/>
    </row>
    <row r="31" spans="1:6" ht="16.2" thickBot="1" x14ac:dyDescent="0.35">
      <c r="A31" s="25"/>
      <c r="B31" s="25"/>
      <c r="C31" s="25"/>
      <c r="D31" s="25"/>
      <c r="E31" s="25"/>
      <c r="F31" s="25"/>
    </row>
    <row r="32" spans="1:6" ht="16.2" thickTop="1" x14ac:dyDescent="0.3">
      <c r="A32" s="399" t="s">
        <v>137</v>
      </c>
      <c r="B32" s="360"/>
      <c r="C32" s="360"/>
      <c r="D32" s="360"/>
      <c r="E32" s="361"/>
      <c r="F32" s="25"/>
    </row>
    <row r="33" spans="1:6" ht="16.5" customHeight="1" x14ac:dyDescent="0.3">
      <c r="A33" s="357"/>
      <c r="B33" s="112"/>
      <c r="C33" s="112"/>
      <c r="D33" s="112"/>
      <c r="E33" s="362"/>
      <c r="F33" s="25"/>
    </row>
    <row r="34" spans="1:6" ht="15.6" x14ac:dyDescent="0.3">
      <c r="A34" s="363" t="s">
        <v>90</v>
      </c>
      <c r="B34" s="112"/>
      <c r="C34" s="112"/>
      <c r="D34" s="112"/>
      <c r="E34" s="362"/>
      <c r="F34" s="25" t="s">
        <v>101</v>
      </c>
    </row>
    <row r="35" spans="1:6" ht="15.6" x14ac:dyDescent="0.3">
      <c r="A35" s="363" t="s">
        <v>364</v>
      </c>
      <c r="B35" s="112"/>
      <c r="C35" s="112"/>
      <c r="D35" s="112"/>
      <c r="E35" s="362"/>
      <c r="F35" s="25"/>
    </row>
    <row r="36" spans="1:6" ht="15.6" x14ac:dyDescent="0.3">
      <c r="A36" s="364"/>
      <c r="B36" s="112"/>
      <c r="C36" s="112"/>
      <c r="D36" s="112"/>
      <c r="E36" s="362"/>
      <c r="F36" s="25"/>
    </row>
    <row r="37" spans="1:6" ht="15.6" x14ac:dyDescent="0.3">
      <c r="A37" s="365" t="s">
        <v>52</v>
      </c>
      <c r="B37" s="288" t="s">
        <v>53</v>
      </c>
      <c r="C37" s="366" t="s">
        <v>55</v>
      </c>
      <c r="D37" s="366" t="s">
        <v>54</v>
      </c>
      <c r="E37" s="367" t="s">
        <v>56</v>
      </c>
      <c r="F37" s="25"/>
    </row>
    <row r="38" spans="1:6" ht="15.6" x14ac:dyDescent="0.3">
      <c r="A38" s="364" t="str">
        <f t="shared" ref="A38:A43" si="0">IF(C38="","","PA Consulting Group Limited 10 pence Ordinary Shares")</f>
        <v/>
      </c>
      <c r="B38" s="368" t="str">
        <f>IF(A38="","",'s104 holdings'!C29)</f>
        <v/>
      </c>
      <c r="C38" s="122" t="str">
        <f>IF('s104 holdings'!F29&lt;&gt;0,-'s104 holdings'!F29,"")</f>
        <v/>
      </c>
      <c r="D38" s="121" t="str">
        <f>IF(C38="","",'s104 holdings'!O29)</f>
        <v/>
      </c>
      <c r="E38" s="369" t="str">
        <f>IF(D38="","",'s104 holdings'!P29)</f>
        <v/>
      </c>
      <c r="F38" s="25"/>
    </row>
    <row r="39" spans="1:6" ht="15.6" x14ac:dyDescent="0.3">
      <c r="A39" s="364" t="str">
        <f t="shared" si="0"/>
        <v/>
      </c>
      <c r="B39" s="368" t="str">
        <f>IF(A39="","",'s104 holdings'!C31)</f>
        <v/>
      </c>
      <c r="C39" s="122" t="str">
        <f>IF('s104 holdings'!F31&lt;&gt;0,-'s104 holdings'!F31,"")</f>
        <v/>
      </c>
      <c r="D39" s="121" t="str">
        <f>IF(C39="","",'s104 holdings'!O31)</f>
        <v/>
      </c>
      <c r="E39" s="369" t="str">
        <f>IF(C39="","",'s104 holdings'!P31)</f>
        <v/>
      </c>
      <c r="F39" s="370" t="str">
        <f>IF(C38="","","This is your share transfer")</f>
        <v/>
      </c>
    </row>
    <row r="40" spans="1:6" ht="15.6" x14ac:dyDescent="0.3">
      <c r="A40" s="364" t="str">
        <f t="shared" si="0"/>
        <v/>
      </c>
      <c r="B40" s="368" t="str">
        <f>IF(A40="","",'s104 holdings'!C33)</f>
        <v/>
      </c>
      <c r="C40" s="122" t="str">
        <f>IF('s104 holdings'!F33&lt;&gt;0,-'s104 holdings'!F33,"")</f>
        <v/>
      </c>
      <c r="D40" s="121" t="str">
        <f>IF(C40="","",'s104 holdings'!O33)</f>
        <v/>
      </c>
      <c r="E40" s="369" t="str">
        <f>IF(D40="","",'s104 holdings'!P33)</f>
        <v/>
      </c>
      <c r="F40" s="370"/>
    </row>
    <row r="41" spans="1:6" ht="15.6" x14ac:dyDescent="0.3">
      <c r="A41" s="364" t="str">
        <f t="shared" si="0"/>
        <v/>
      </c>
      <c r="B41" s="368" t="str">
        <f>IF(A41="","",'s104 holdings'!C35)</f>
        <v/>
      </c>
      <c r="C41" s="122" t="str">
        <f>IF('s104 holdings'!F35&lt;&gt;0,-'s104 holdings'!F35,"")</f>
        <v/>
      </c>
      <c r="D41" s="121" t="str">
        <f>IF(C41="","",'s104 holdings'!O35)</f>
        <v/>
      </c>
      <c r="E41" s="369" t="str">
        <f>IF(D41="","",'s104 holdings'!P35)</f>
        <v/>
      </c>
      <c r="F41" s="43"/>
    </row>
    <row r="42" spans="1:6" ht="15.6" x14ac:dyDescent="0.3">
      <c r="A42" s="364" t="str">
        <f t="shared" si="0"/>
        <v/>
      </c>
      <c r="B42" s="368" t="str">
        <f>IF(A42="","",'s104 holdings'!C37)</f>
        <v/>
      </c>
      <c r="C42" s="122" t="str">
        <f>IF('s104 holdings'!F37&lt;&gt;0,-'s104 holdings'!F37,"")</f>
        <v/>
      </c>
      <c r="D42" s="121" t="str">
        <f>IF(C42="","",'s104 holdings'!O37)</f>
        <v/>
      </c>
      <c r="E42" s="369" t="str">
        <f>IF(D42="","",'s104 holdings'!P37)</f>
        <v/>
      </c>
      <c r="F42" s="43"/>
    </row>
    <row r="43" spans="1:6" ht="15.6" x14ac:dyDescent="0.3">
      <c r="A43" s="364" t="str">
        <f t="shared" si="0"/>
        <v/>
      </c>
      <c r="B43" s="368" t="str">
        <f>IF(A43="","",'s104 holdings'!C38)</f>
        <v/>
      </c>
      <c r="C43" s="122" t="str">
        <f>IF('s104 holdings'!F38&lt;&gt;0,-'s104 holdings'!F38,"")</f>
        <v/>
      </c>
      <c r="D43" s="121" t="str">
        <f>IF(C43="","",'s104 holdings'!O38)</f>
        <v/>
      </c>
      <c r="E43" s="369" t="str">
        <f>IF(D43="","",'s104 holdings'!P38)</f>
        <v/>
      </c>
      <c r="F43" s="43"/>
    </row>
    <row r="44" spans="1:6" ht="15.6" x14ac:dyDescent="0.3">
      <c r="A44" s="364"/>
      <c r="B44" s="368"/>
      <c r="C44" s="122"/>
      <c r="D44" s="121"/>
      <c r="E44" s="369"/>
      <c r="F44" s="43"/>
    </row>
    <row r="45" spans="1:6" ht="15.6" x14ac:dyDescent="0.3">
      <c r="A45" s="364" t="str">
        <f>IF(C45="","","PA Consulting Group Limited 10 pence Ordinary Shares")</f>
        <v/>
      </c>
      <c r="B45" s="368" t="str">
        <f>IF(A45="","",'s104 holdings'!C40)</f>
        <v/>
      </c>
      <c r="C45" s="122" t="str">
        <f>IF('s104 holdings'!F40&lt;&gt;0,-'s104 holdings'!F40,"")</f>
        <v/>
      </c>
      <c r="D45" s="121" t="str">
        <f>IF(C45="","",'s104 holdings'!O40)</f>
        <v/>
      </c>
      <c r="E45" s="369" t="str">
        <f>IF(D45="","",'s104 holdings'!P40)</f>
        <v/>
      </c>
      <c r="F45" s="43"/>
    </row>
    <row r="46" spans="1:6" ht="15.6" x14ac:dyDescent="0.3">
      <c r="A46" s="364" t="str">
        <f>IF(C46="","","PA Consulting Group Limited 10 pence Ordinary Shares")</f>
        <v/>
      </c>
      <c r="B46" s="368" t="str">
        <f>IF(A46="","",'s104 holdings'!C41)</f>
        <v/>
      </c>
      <c r="C46" s="122" t="str">
        <f>IF('s104 holdings'!K41&lt;&gt;0,-'s104 holdings'!K41,"")</f>
        <v/>
      </c>
      <c r="D46" s="121" t="str">
        <f>IF(C46="","",'s104 holdings'!O41)</f>
        <v/>
      </c>
      <c r="E46" s="369" t="str">
        <f>IF(D46="","",'s104 holdings'!P41)</f>
        <v/>
      </c>
      <c r="F46" s="43"/>
    </row>
    <row r="47" spans="1:6" ht="23.25" customHeight="1" x14ac:dyDescent="0.3">
      <c r="A47" s="364" t="s">
        <v>63</v>
      </c>
      <c r="B47" s="318"/>
      <c r="C47" s="319"/>
      <c r="D47" s="371">
        <f>SUM(D38:D46)</f>
        <v>0</v>
      </c>
      <c r="E47" s="372">
        <f>SUM(E38:E46)</f>
        <v>0</v>
      </c>
      <c r="F47" s="43"/>
    </row>
    <row r="48" spans="1:6" ht="16.2" thickBot="1" x14ac:dyDescent="0.35">
      <c r="A48" s="373"/>
      <c r="B48" s="374"/>
      <c r="C48" s="375"/>
      <c r="D48" s="376"/>
      <c r="E48" s="377"/>
      <c r="F48" s="43"/>
    </row>
    <row r="49" spans="1:6" ht="16.2" thickTop="1" x14ac:dyDescent="0.3">
      <c r="A49" s="112"/>
      <c r="B49" s="318"/>
      <c r="C49" s="319"/>
      <c r="D49" s="320"/>
      <c r="E49" s="321"/>
      <c r="F49" s="43"/>
    </row>
    <row r="50" spans="1:6" ht="15.6" x14ac:dyDescent="0.3">
      <c r="A50" s="112"/>
      <c r="B50" s="318"/>
      <c r="C50" s="319"/>
      <c r="D50" s="320"/>
      <c r="E50" s="321"/>
      <c r="F50" s="43"/>
    </row>
    <row r="51" spans="1:6" ht="15.6" x14ac:dyDescent="0.3">
      <c r="A51" s="112"/>
      <c r="B51" s="318"/>
      <c r="C51" s="319"/>
      <c r="D51" s="320"/>
      <c r="E51" s="321"/>
      <c r="F51" s="43"/>
    </row>
    <row r="52" spans="1:6" ht="15.6" x14ac:dyDescent="0.3">
      <c r="A52" s="112"/>
      <c r="B52" s="318"/>
      <c r="C52" s="319"/>
      <c r="D52" s="320"/>
      <c r="E52" s="321"/>
      <c r="F52" s="43"/>
    </row>
    <row r="53" spans="1:6" ht="16.2" thickBot="1" x14ac:dyDescent="0.35">
      <c r="A53" s="25"/>
      <c r="B53" s="334"/>
      <c r="C53" s="335"/>
      <c r="D53" s="332"/>
      <c r="E53" s="333"/>
      <c r="F53" s="43"/>
    </row>
    <row r="54" spans="1:6" ht="16.2" thickTop="1" x14ac:dyDescent="0.3">
      <c r="A54" s="399" t="s">
        <v>133</v>
      </c>
      <c r="B54" s="378"/>
      <c r="C54" s="379"/>
      <c r="D54" s="380"/>
      <c r="E54" s="381"/>
      <c r="F54" s="43"/>
    </row>
    <row r="55" spans="1:6" ht="15.6" x14ac:dyDescent="0.3">
      <c r="A55" s="363" t="s">
        <v>75</v>
      </c>
      <c r="B55" s="318"/>
      <c r="C55" s="319"/>
      <c r="D55" s="320"/>
      <c r="E55" s="382"/>
      <c r="F55" s="43"/>
    </row>
    <row r="56" spans="1:6" ht="15.6" x14ac:dyDescent="0.3">
      <c r="A56" s="364"/>
      <c r="B56" s="318"/>
      <c r="C56" s="319"/>
      <c r="D56" s="320"/>
      <c r="E56" s="382"/>
      <c r="F56" s="43"/>
    </row>
    <row r="57" spans="1:6" ht="15.6" x14ac:dyDescent="0.3">
      <c r="A57" s="357" t="s">
        <v>73</v>
      </c>
      <c r="B57" s="318"/>
      <c r="C57" s="319"/>
      <c r="D57" s="320"/>
      <c r="E57" s="382"/>
      <c r="F57" s="43"/>
    </row>
    <row r="58" spans="1:6" ht="15.6" x14ac:dyDescent="0.3">
      <c r="A58" s="357"/>
      <c r="B58" s="318"/>
      <c r="C58" s="319"/>
      <c r="D58" s="320"/>
      <c r="E58" s="382"/>
      <c r="F58" s="43"/>
    </row>
    <row r="59" spans="1:6" ht="15" customHeight="1" x14ac:dyDescent="0.3">
      <c r="A59" s="400" t="s">
        <v>74</v>
      </c>
      <c r="B59" s="318"/>
      <c r="C59" s="401" t="s">
        <v>76</v>
      </c>
      <c r="D59" s="402"/>
      <c r="E59" s="403"/>
      <c r="F59" s="43"/>
    </row>
    <row r="60" spans="1:6" ht="15" customHeight="1" x14ac:dyDescent="0.3">
      <c r="A60" s="383">
        <f>ROUNDDOWN(E47,0)</f>
        <v>0</v>
      </c>
      <c r="B60" s="318"/>
      <c r="C60" s="384">
        <f>MAX(0,D21)</f>
        <v>0</v>
      </c>
      <c r="D60" s="385"/>
      <c r="E60" s="386"/>
      <c r="F60" s="43"/>
    </row>
    <row r="61" spans="1:6" ht="15" customHeight="1" x14ac:dyDescent="0.3">
      <c r="A61" s="364"/>
      <c r="B61" s="320"/>
      <c r="C61" s="319"/>
      <c r="D61" s="320"/>
      <c r="E61" s="382"/>
      <c r="F61" s="43"/>
    </row>
    <row r="62" spans="1:6" ht="15" customHeight="1" x14ac:dyDescent="0.3">
      <c r="A62" s="400" t="s">
        <v>77</v>
      </c>
      <c r="B62" s="318"/>
      <c r="C62" s="401" t="s">
        <v>78</v>
      </c>
      <c r="D62" s="402"/>
      <c r="E62" s="403"/>
      <c r="F62" s="43"/>
    </row>
    <row r="63" spans="1:6" ht="15" customHeight="1" x14ac:dyDescent="0.3">
      <c r="A63" s="383">
        <v>0</v>
      </c>
      <c r="B63" s="318"/>
      <c r="C63" s="387" t="s">
        <v>80</v>
      </c>
      <c r="D63" s="388"/>
      <c r="E63" s="389"/>
      <c r="F63" s="43"/>
    </row>
    <row r="64" spans="1:6" ht="15" customHeight="1" x14ac:dyDescent="0.3">
      <c r="A64" s="364"/>
      <c r="B64" s="320"/>
      <c r="C64" s="319"/>
      <c r="D64" s="320"/>
      <c r="E64" s="382"/>
      <c r="F64" s="43"/>
    </row>
    <row r="65" spans="1:6" ht="15" customHeight="1" x14ac:dyDescent="0.3">
      <c r="A65" s="400" t="s">
        <v>82</v>
      </c>
      <c r="B65" s="318"/>
      <c r="C65" s="401" t="s">
        <v>129</v>
      </c>
      <c r="D65" s="402"/>
      <c r="E65" s="403"/>
      <c r="F65" s="43"/>
    </row>
    <row r="66" spans="1:6" ht="15" customHeight="1" x14ac:dyDescent="0.3">
      <c r="A66" s="383">
        <f>MIN(-B21,B20)</f>
        <v>0</v>
      </c>
      <c r="B66" s="318"/>
      <c r="C66" s="387" t="s">
        <v>80</v>
      </c>
      <c r="D66" s="385"/>
      <c r="E66" s="386"/>
      <c r="F66" s="43"/>
    </row>
    <row r="67" spans="1:6" ht="15.6" x14ac:dyDescent="0.3">
      <c r="A67" s="364"/>
      <c r="B67" s="112"/>
      <c r="C67" s="112"/>
      <c r="D67" s="112"/>
      <c r="E67" s="362"/>
      <c r="F67" s="25"/>
    </row>
    <row r="68" spans="1:6" ht="15" customHeight="1" x14ac:dyDescent="0.3">
      <c r="A68" s="400" t="s">
        <v>83</v>
      </c>
      <c r="B68" s="318"/>
      <c r="C68" s="401" t="s">
        <v>130</v>
      </c>
      <c r="D68" s="402"/>
      <c r="E68" s="403"/>
      <c r="F68" s="43"/>
    </row>
    <row r="69" spans="1:6" ht="15" customHeight="1" x14ac:dyDescent="0.3">
      <c r="A69" s="383">
        <f>MAX(0,A60-A63-A66)</f>
        <v>0</v>
      </c>
      <c r="B69" s="318"/>
      <c r="C69" s="387" t="s">
        <v>80</v>
      </c>
      <c r="D69" s="385"/>
      <c r="E69" s="386"/>
      <c r="F69" s="43"/>
    </row>
    <row r="70" spans="1:6" ht="15.6" x14ac:dyDescent="0.3">
      <c r="A70" s="364"/>
      <c r="B70" s="112"/>
      <c r="C70" s="112"/>
      <c r="D70" s="112"/>
      <c r="E70" s="362"/>
      <c r="F70" s="25"/>
    </row>
    <row r="71" spans="1:6" ht="15" customHeight="1" x14ac:dyDescent="0.3">
      <c r="A71" s="400" t="s">
        <v>81</v>
      </c>
      <c r="B71" s="318"/>
      <c r="C71" s="401" t="s">
        <v>131</v>
      </c>
      <c r="D71" s="402"/>
      <c r="E71" s="403"/>
      <c r="F71" s="43"/>
    </row>
    <row r="72" spans="1:6" ht="15" customHeight="1" x14ac:dyDescent="0.3">
      <c r="A72" s="383">
        <f>-B23</f>
        <v>10100</v>
      </c>
      <c r="B72" s="318"/>
      <c r="C72" s="387" t="s">
        <v>80</v>
      </c>
      <c r="D72" s="385"/>
      <c r="E72" s="386"/>
      <c r="F72" s="43"/>
    </row>
    <row r="73" spans="1:6" ht="15.6" x14ac:dyDescent="0.3">
      <c r="A73" s="364"/>
      <c r="B73" s="112"/>
      <c r="C73" s="112"/>
      <c r="D73" s="112"/>
      <c r="E73" s="362"/>
      <c r="F73" s="25"/>
    </row>
    <row r="74" spans="1:6" ht="15" customHeight="1" x14ac:dyDescent="0.3">
      <c r="A74" s="400" t="s">
        <v>84</v>
      </c>
      <c r="B74" s="318"/>
      <c r="C74" s="401" t="s">
        <v>89</v>
      </c>
      <c r="D74" s="402"/>
      <c r="E74" s="403"/>
      <c r="F74" s="43"/>
    </row>
    <row r="75" spans="1:6" ht="15" customHeight="1" x14ac:dyDescent="0.3">
      <c r="A75" s="383">
        <f>MAX(0,A69-A72)</f>
        <v>0</v>
      </c>
      <c r="B75" s="318"/>
      <c r="C75" s="387" t="s">
        <v>80</v>
      </c>
      <c r="D75" s="385"/>
      <c r="E75" s="386"/>
      <c r="F75" s="43"/>
    </row>
    <row r="76" spans="1:6" ht="15.6" x14ac:dyDescent="0.3">
      <c r="A76" s="364"/>
      <c r="B76" s="112"/>
      <c r="C76" s="112"/>
      <c r="D76" s="112"/>
      <c r="E76" s="362"/>
      <c r="F76" s="25"/>
    </row>
    <row r="77" spans="1:6" ht="15" customHeight="1" x14ac:dyDescent="0.3">
      <c r="A77" s="400" t="s">
        <v>85</v>
      </c>
      <c r="B77" s="318"/>
      <c r="C77" s="112"/>
      <c r="D77" s="112"/>
      <c r="E77" s="362"/>
      <c r="F77" s="25"/>
    </row>
    <row r="78" spans="1:6" ht="15" customHeight="1" x14ac:dyDescent="0.3">
      <c r="A78" s="390" t="s">
        <v>80</v>
      </c>
      <c r="B78" s="318"/>
      <c r="C78" s="112"/>
      <c r="D78" s="112"/>
      <c r="E78" s="362"/>
      <c r="F78" s="25"/>
    </row>
    <row r="79" spans="1:6" ht="5.25" customHeight="1" thickBot="1" x14ac:dyDescent="0.35">
      <c r="A79" s="373"/>
      <c r="B79" s="391"/>
      <c r="C79" s="391"/>
      <c r="D79" s="391"/>
      <c r="E79" s="392"/>
      <c r="F79" s="25"/>
    </row>
    <row r="80" spans="1:6" ht="16.8" thickTop="1" thickBot="1" x14ac:dyDescent="0.35">
      <c r="A80" s="25"/>
      <c r="B80" s="25"/>
      <c r="C80" s="25"/>
      <c r="D80" s="25"/>
      <c r="E80" s="25"/>
      <c r="F80" s="25"/>
    </row>
    <row r="81" spans="1:6" ht="16.2" thickTop="1" x14ac:dyDescent="0.3">
      <c r="A81" s="399" t="s">
        <v>132</v>
      </c>
      <c r="B81" s="378"/>
      <c r="C81" s="379"/>
      <c r="D81" s="380"/>
      <c r="E81" s="381"/>
      <c r="F81" s="43"/>
    </row>
    <row r="82" spans="1:6" ht="15.6" x14ac:dyDescent="0.3">
      <c r="A82" s="364"/>
      <c r="B82" s="318"/>
      <c r="C82" s="319"/>
      <c r="D82" s="320"/>
      <c r="E82" s="382"/>
      <c r="F82" s="43"/>
    </row>
    <row r="83" spans="1:6" ht="15.6" x14ac:dyDescent="0.3">
      <c r="A83" s="357" t="s">
        <v>65</v>
      </c>
      <c r="B83" s="318"/>
      <c r="C83" s="319"/>
      <c r="D83" s="320"/>
      <c r="E83" s="382"/>
      <c r="F83" s="43"/>
    </row>
    <row r="84" spans="1:6" ht="15.6" x14ac:dyDescent="0.3">
      <c r="A84" s="357"/>
      <c r="B84" s="318"/>
      <c r="C84" s="319"/>
      <c r="D84" s="320"/>
      <c r="E84" s="382"/>
      <c r="F84" s="43"/>
    </row>
    <row r="85" spans="1:6" ht="15" customHeight="1" x14ac:dyDescent="0.3">
      <c r="A85" s="400" t="s">
        <v>64</v>
      </c>
      <c r="B85" s="318"/>
      <c r="C85" s="401" t="s">
        <v>66</v>
      </c>
      <c r="D85" s="402"/>
      <c r="E85" s="403"/>
      <c r="F85" s="43"/>
    </row>
    <row r="86" spans="1:6" ht="15" customHeight="1" x14ac:dyDescent="0.3">
      <c r="A86" s="393">
        <f>COUNT(C38:C46)</f>
        <v>0</v>
      </c>
      <c r="B86" s="318"/>
      <c r="C86" s="394">
        <f>ROUNDDOWN(E47,0)</f>
        <v>0</v>
      </c>
      <c r="D86" s="385"/>
      <c r="E86" s="386"/>
      <c r="F86" s="43"/>
    </row>
    <row r="87" spans="1:6" ht="15" customHeight="1" x14ac:dyDescent="0.3">
      <c r="A87" s="364"/>
      <c r="B87" s="320"/>
      <c r="C87" s="319"/>
      <c r="D87" s="320"/>
      <c r="E87" s="382"/>
      <c r="F87" s="43"/>
    </row>
    <row r="88" spans="1:6" ht="15" customHeight="1" x14ac:dyDescent="0.3">
      <c r="A88" s="400" t="s">
        <v>67</v>
      </c>
      <c r="B88" s="318"/>
      <c r="C88" s="401" t="s">
        <v>68</v>
      </c>
      <c r="D88" s="402"/>
      <c r="E88" s="403"/>
      <c r="F88" s="43"/>
    </row>
    <row r="89" spans="1:6" ht="15" customHeight="1" x14ac:dyDescent="0.3">
      <c r="A89" s="395">
        <f>ROUNDDOWN(D47,0)</f>
        <v>0</v>
      </c>
      <c r="B89" s="318"/>
      <c r="C89" s="394" t="s">
        <v>69</v>
      </c>
      <c r="D89" s="385"/>
      <c r="E89" s="386"/>
      <c r="F89" s="43"/>
    </row>
    <row r="90" spans="1:6" ht="15" customHeight="1" x14ac:dyDescent="0.3">
      <c r="A90" s="364"/>
      <c r="B90" s="320"/>
      <c r="C90" s="319"/>
      <c r="D90" s="320"/>
      <c r="E90" s="382"/>
      <c r="F90" s="43"/>
    </row>
    <row r="91" spans="1:6" ht="15" customHeight="1" x14ac:dyDescent="0.3">
      <c r="A91" s="400" t="s">
        <v>70</v>
      </c>
      <c r="B91" s="318"/>
      <c r="C91" s="401" t="s">
        <v>71</v>
      </c>
      <c r="D91" s="402"/>
      <c r="E91" s="403"/>
      <c r="F91" s="43"/>
    </row>
    <row r="92" spans="1:6" ht="15" customHeight="1" x14ac:dyDescent="0.3">
      <c r="A92" s="395">
        <f>D47-E47</f>
        <v>0</v>
      </c>
      <c r="B92" s="318"/>
      <c r="C92" s="394" t="s">
        <v>69</v>
      </c>
      <c r="D92" s="385"/>
      <c r="E92" s="386"/>
      <c r="F92" s="43"/>
    </row>
    <row r="93" spans="1:6" ht="15.6" x14ac:dyDescent="0.3">
      <c r="A93" s="364"/>
      <c r="B93" s="112"/>
      <c r="C93" s="112"/>
      <c r="D93" s="112"/>
      <c r="E93" s="362"/>
      <c r="F93" s="25"/>
    </row>
    <row r="94" spans="1:6" ht="16.2" thickBot="1" x14ac:dyDescent="0.35">
      <c r="A94" s="373"/>
      <c r="B94" s="391"/>
      <c r="C94" s="391"/>
      <c r="D94" s="391"/>
      <c r="E94" s="392"/>
      <c r="F94" s="25"/>
    </row>
    <row r="95" spans="1:6" ht="16.2" thickTop="1" x14ac:dyDescent="0.3">
      <c r="A95" s="25"/>
      <c r="B95" s="25"/>
      <c r="C95" s="25"/>
      <c r="D95" s="25"/>
      <c r="E95" s="25"/>
      <c r="F95" s="25"/>
    </row>
  </sheetData>
  <phoneticPr fontId="3" type="noConversion"/>
  <hyperlinks>
    <hyperlink ref="A5" r:id="rId1" xr:uid="{00000000-0004-0000-0B00-000000000000}"/>
    <hyperlink ref="C5" r:id="rId2" xr:uid="{00000000-0004-0000-0B00-000001000000}"/>
  </hyperlinks>
  <printOptions horizontalCentered="1"/>
  <pageMargins left="0.27559055118110237" right="0.23622047244094491" top="0.98425196850393704" bottom="5.393700787401575" header="0.51181102362204722" footer="0.51181102362204722"/>
  <pageSetup paperSize="9" scale="65" fitToHeight="3" orientation="portrait" r:id="rId3"/>
  <headerFooter alignWithMargins="0">
    <oddFooter>&amp;C&amp;"Arial,Bold"&amp;12 2008/09 Tax Return Reporting</oddFooter>
  </headerFooter>
  <rowBreaks count="1" manualBreakCount="1">
    <brk id="5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04"/>
  <sheetViews>
    <sheetView zoomScaleNormal="100" zoomScaleSheetLayoutView="100" workbookViewId="0"/>
  </sheetViews>
  <sheetFormatPr defaultRowHeight="13.2" x14ac:dyDescent="0.25"/>
  <cols>
    <col min="1" max="1" width="56.5546875" customWidth="1"/>
    <col min="2" max="2" width="20" customWidth="1"/>
    <col min="3" max="3" width="15.88671875" customWidth="1"/>
    <col min="4" max="4" width="16.6640625" customWidth="1"/>
    <col min="5" max="5" width="51.109375" customWidth="1"/>
    <col min="6" max="6" width="35.88671875" customWidth="1"/>
  </cols>
  <sheetData>
    <row r="1" spans="1:7" ht="21" x14ac:dyDescent="0.4">
      <c r="A1" s="101" t="s">
        <v>142</v>
      </c>
      <c r="B1" s="25"/>
      <c r="C1" s="25"/>
      <c r="D1" s="25"/>
      <c r="E1" s="25"/>
    </row>
    <row r="2" spans="1:7" ht="16.2" thickBot="1" x14ac:dyDescent="0.35">
      <c r="A2" s="21"/>
      <c r="B2" s="25"/>
      <c r="C2" s="25"/>
      <c r="D2" s="25"/>
      <c r="E2" s="25"/>
    </row>
    <row r="3" spans="1:7" ht="15.6" x14ac:dyDescent="0.3">
      <c r="A3" s="197" t="s">
        <v>114</v>
      </c>
      <c r="B3" s="202"/>
      <c r="C3" s="202"/>
      <c r="D3" s="202"/>
      <c r="E3" s="203"/>
    </row>
    <row r="4" spans="1:7" ht="15.6" x14ac:dyDescent="0.3">
      <c r="A4" s="223" t="s">
        <v>115</v>
      </c>
      <c r="B4" s="238"/>
      <c r="C4" s="238"/>
      <c r="D4" s="238"/>
      <c r="E4" s="220"/>
    </row>
    <row r="5" spans="1:7" ht="16.2" thickBot="1" x14ac:dyDescent="0.35">
      <c r="A5" s="338" t="s">
        <v>49</v>
      </c>
      <c r="B5" s="226" t="s">
        <v>50</v>
      </c>
      <c r="C5" s="339" t="s">
        <v>51</v>
      </c>
      <c r="D5" s="226"/>
      <c r="E5" s="227"/>
    </row>
    <row r="6" spans="1:7" ht="16.2" thickBot="1" x14ac:dyDescent="0.35">
      <c r="A6" s="21"/>
      <c r="B6" s="25"/>
      <c r="C6" s="25"/>
      <c r="D6" s="25"/>
      <c r="E6" s="25"/>
    </row>
    <row r="7" spans="1:7" ht="15.6" x14ac:dyDescent="0.3">
      <c r="A7" s="242" t="s">
        <v>361</v>
      </c>
      <c r="B7" s="111"/>
      <c r="C7" s="111"/>
      <c r="D7" s="111"/>
      <c r="E7" s="159"/>
      <c r="F7" s="25"/>
      <c r="G7" s="25"/>
    </row>
    <row r="8" spans="1:7" ht="15.6" x14ac:dyDescent="0.3">
      <c r="A8" s="243"/>
      <c r="B8" s="112"/>
      <c r="C8" s="112"/>
      <c r="D8" s="112"/>
      <c r="E8" s="129"/>
      <c r="F8" s="25"/>
      <c r="G8" s="25"/>
    </row>
    <row r="9" spans="1:7" ht="15.6" x14ac:dyDescent="0.3">
      <c r="A9" s="275" t="s">
        <v>48</v>
      </c>
      <c r="B9" s="288" t="s">
        <v>39</v>
      </c>
      <c r="C9" s="288" t="s">
        <v>37</v>
      </c>
      <c r="D9" s="288" t="s">
        <v>38</v>
      </c>
      <c r="E9" s="129"/>
      <c r="F9" s="25"/>
      <c r="G9" s="25"/>
    </row>
    <row r="10" spans="1:7" ht="25.5" customHeight="1" x14ac:dyDescent="0.3">
      <c r="A10" s="114" t="s">
        <v>365</v>
      </c>
      <c r="B10" s="290"/>
      <c r="C10" s="244">
        <v>2.97</v>
      </c>
      <c r="D10" s="244" t="str">
        <f>IF(B10*C10&gt;0,B10*C10,"")</f>
        <v/>
      </c>
      <c r="E10" s="353" t="s">
        <v>40</v>
      </c>
      <c r="F10" s="25"/>
      <c r="G10" s="25"/>
    </row>
    <row r="11" spans="1:7" ht="15.6" x14ac:dyDescent="0.3">
      <c r="A11" s="128"/>
      <c r="B11" s="112"/>
      <c r="C11" s="112"/>
      <c r="D11" s="112"/>
      <c r="E11" s="129"/>
      <c r="F11" s="25"/>
      <c r="G11" s="25"/>
    </row>
    <row r="12" spans="1:7" ht="15.6" x14ac:dyDescent="0.3">
      <c r="A12" s="275" t="s">
        <v>91</v>
      </c>
      <c r="B12" s="288" t="s">
        <v>104</v>
      </c>
      <c r="C12" s="112"/>
      <c r="D12" s="112"/>
      <c r="E12" s="129"/>
      <c r="F12" s="25"/>
      <c r="G12" s="25"/>
    </row>
    <row r="13" spans="1:7" ht="15.9" customHeight="1" x14ac:dyDescent="0.3">
      <c r="A13" s="128" t="s">
        <v>102</v>
      </c>
      <c r="B13" s="244">
        <f>SUM('s104 holdings'!O7:O26)</f>
        <v>0</v>
      </c>
      <c r="C13" s="112"/>
      <c r="D13" s="112"/>
      <c r="E13" s="129"/>
      <c r="F13" s="25"/>
      <c r="G13" s="25"/>
    </row>
    <row r="14" spans="1:7" ht="15.9" customHeight="1" x14ac:dyDescent="0.3">
      <c r="A14" s="128" t="str">
        <f>IF(B10&gt;0,"From above PA Option exercise of "&amp;B10&amp;" shares x £7.27","")</f>
        <v/>
      </c>
      <c r="B14" s="244" t="str">
        <f>IF(B10&gt;0,B10*7.27,"")</f>
        <v/>
      </c>
      <c r="C14" s="112"/>
      <c r="D14" s="112"/>
      <c r="E14" s="129"/>
      <c r="F14" s="25"/>
      <c r="G14" s="25"/>
    </row>
    <row r="15" spans="1:7" ht="15.9" customHeight="1" x14ac:dyDescent="0.3">
      <c r="A15" s="128" t="s">
        <v>103</v>
      </c>
      <c r="B15" s="294"/>
      <c r="C15" s="112"/>
      <c r="D15" s="112"/>
      <c r="E15" s="129"/>
      <c r="F15" s="25"/>
      <c r="G15" s="25"/>
    </row>
    <row r="16" spans="1:7" ht="15.9" customHeight="1" x14ac:dyDescent="0.3">
      <c r="A16" s="243" t="s">
        <v>41</v>
      </c>
      <c r="B16" s="295">
        <f>SUM(B13:B15)</f>
        <v>0</v>
      </c>
      <c r="C16" s="112"/>
      <c r="D16" s="112"/>
      <c r="E16" s="129"/>
      <c r="F16" s="25"/>
      <c r="G16" s="25"/>
    </row>
    <row r="17" spans="1:7" ht="15.9" customHeight="1" x14ac:dyDescent="0.3">
      <c r="A17" s="128" t="s">
        <v>42</v>
      </c>
      <c r="B17" s="340" t="str">
        <f>IF(B16&gt;38400,"Yes, you are required to report your disposal on your tax return","No, only required to report if taxable gains more than £9,600 or elections to be made")</f>
        <v>No, only required to report if taxable gains more than £9,600 or elections to be made</v>
      </c>
      <c r="C17" s="112"/>
      <c r="D17" s="112"/>
      <c r="E17" s="129"/>
      <c r="F17" s="25"/>
      <c r="G17" s="25"/>
    </row>
    <row r="18" spans="1:7" ht="15.6" x14ac:dyDescent="0.3">
      <c r="A18" s="128"/>
      <c r="B18" s="112"/>
      <c r="C18" s="112"/>
      <c r="D18" s="112"/>
      <c r="E18" s="129"/>
      <c r="F18" s="25"/>
      <c r="G18" s="25"/>
    </row>
    <row r="19" spans="1:7" ht="15.6" x14ac:dyDescent="0.3">
      <c r="A19" s="128"/>
      <c r="B19" s="112"/>
      <c r="C19" s="112"/>
      <c r="D19" s="112"/>
      <c r="E19" s="129"/>
      <c r="F19" s="25"/>
      <c r="G19" s="25"/>
    </row>
    <row r="20" spans="1:7" ht="15.6" x14ac:dyDescent="0.3">
      <c r="A20" s="275" t="s">
        <v>43</v>
      </c>
      <c r="B20" s="288" t="s">
        <v>37</v>
      </c>
      <c r="C20" s="112"/>
      <c r="D20" s="112"/>
      <c r="E20" s="129"/>
      <c r="F20" s="25"/>
      <c r="G20" s="25"/>
    </row>
    <row r="21" spans="1:7" ht="15.9" customHeight="1" x14ac:dyDescent="0.3">
      <c r="A21" s="128" t="str">
        <f>A13</f>
        <v>From PA share sales per s104 Holdings sheet</v>
      </c>
      <c r="B21" s="244">
        <f>SUM('s104 holdings'!P7:P26)</f>
        <v>0</v>
      </c>
      <c r="C21" s="112"/>
      <c r="D21" s="112"/>
      <c r="E21" s="129"/>
      <c r="F21" s="25"/>
      <c r="G21" s="25"/>
    </row>
    <row r="22" spans="1:7" ht="15.9" customHeight="1" x14ac:dyDescent="0.3">
      <c r="A22" s="128" t="str">
        <f>IF(A14&lt;&gt;"","Gain on above PA share option exercise","")</f>
        <v/>
      </c>
      <c r="B22" s="244" t="str">
        <f>IF(D10&gt;0,D10,"")</f>
        <v/>
      </c>
      <c r="C22" s="112"/>
      <c r="D22" s="112"/>
      <c r="E22" s="129"/>
      <c r="F22" s="25"/>
      <c r="G22" s="25"/>
    </row>
    <row r="23" spans="1:7" ht="15.9" customHeight="1" x14ac:dyDescent="0.3">
      <c r="A23" s="128" t="str">
        <f>A15</f>
        <v>Any non-PA chargeable sales you made</v>
      </c>
      <c r="B23" s="294"/>
      <c r="C23" s="112"/>
      <c r="D23" s="112"/>
      <c r="E23" s="129"/>
      <c r="F23" s="25"/>
      <c r="G23" s="25"/>
    </row>
    <row r="24" spans="1:7" ht="15.9" customHeight="1" x14ac:dyDescent="0.3">
      <c r="A24" s="243" t="s">
        <v>36</v>
      </c>
      <c r="B24" s="295">
        <f>SUM(B21:B23)</f>
        <v>0</v>
      </c>
      <c r="C24" s="112"/>
      <c r="D24" s="112"/>
      <c r="E24" s="129"/>
      <c r="F24" s="25"/>
      <c r="G24" s="25"/>
    </row>
    <row r="25" spans="1:7" ht="15.9" customHeight="1" x14ac:dyDescent="0.3">
      <c r="A25" s="128" t="s">
        <v>79</v>
      </c>
      <c r="B25" s="294"/>
      <c r="C25" s="296" t="str">
        <f>IF(-B25&gt;B24,"Losses c/f","")</f>
        <v/>
      </c>
      <c r="D25" s="244" t="str">
        <f>IF(C25="","",-SUM(B24:B25))</f>
        <v/>
      </c>
      <c r="E25" s="129"/>
      <c r="F25" s="25"/>
      <c r="G25" s="25"/>
    </row>
    <row r="26" spans="1:7" ht="15.9" customHeight="1" x14ac:dyDescent="0.3">
      <c r="A26" s="243" t="s">
        <v>44</v>
      </c>
      <c r="B26" s="297">
        <f>MAX(0,SUM(B24:B25))</f>
        <v>0</v>
      </c>
      <c r="C26" s="112"/>
      <c r="D26" s="112"/>
      <c r="E26" s="129"/>
      <c r="F26" s="25"/>
      <c r="G26" s="25"/>
    </row>
    <row r="27" spans="1:7" ht="15.9" customHeight="1" x14ac:dyDescent="0.3">
      <c r="A27" s="128" t="s">
        <v>45</v>
      </c>
      <c r="B27" s="347">
        <v>-9600</v>
      </c>
      <c r="C27" s="112"/>
      <c r="D27" s="112"/>
      <c r="E27" s="129"/>
      <c r="F27" s="25"/>
      <c r="G27" s="25"/>
    </row>
    <row r="28" spans="1:7" ht="15.9" customHeight="1" x14ac:dyDescent="0.3">
      <c r="A28" s="243" t="s">
        <v>46</v>
      </c>
      <c r="B28" s="295">
        <f>MAX(0,SUM(B26:B27))</f>
        <v>0</v>
      </c>
      <c r="C28" s="112"/>
      <c r="D28" s="112"/>
      <c r="E28" s="129"/>
      <c r="F28" s="25"/>
      <c r="G28" s="25"/>
    </row>
    <row r="29" spans="1:7" ht="15.9" customHeight="1" x14ac:dyDescent="0.3">
      <c r="A29" s="128" t="s">
        <v>47</v>
      </c>
      <c r="B29" s="340" t="str">
        <f>IF(B28&gt;0,"Yes, you must report your gains on your tax return","No, you only need report gains where total sales &gt; 4 x £9,600 exemption or elections being made")</f>
        <v>No, you only need report gains where total sales &gt; 4 x £9,600 exemption or elections being made</v>
      </c>
      <c r="C29" s="112"/>
      <c r="D29" s="112"/>
      <c r="E29" s="129"/>
      <c r="F29" s="25"/>
      <c r="G29" s="25"/>
    </row>
    <row r="30" spans="1:7" ht="15.9" customHeight="1" x14ac:dyDescent="0.3">
      <c r="A30" s="298" t="str">
        <f>IF(B28&gt;0,"Tax @18% due by 31 January 2010 on your gains:","")</f>
        <v/>
      </c>
      <c r="B30" s="299" t="str">
        <f>IF(A30="","",ROUND(B28*18%,2))</f>
        <v/>
      </c>
      <c r="C30" s="112"/>
      <c r="D30" s="112"/>
      <c r="E30" s="129"/>
      <c r="F30" s="25"/>
      <c r="G30" s="25"/>
    </row>
    <row r="31" spans="1:7" ht="16.2" thickBot="1" x14ac:dyDescent="0.35">
      <c r="A31" s="147"/>
      <c r="B31" s="148"/>
      <c r="C31" s="148"/>
      <c r="D31" s="148"/>
      <c r="E31" s="150"/>
      <c r="F31" s="25"/>
      <c r="G31" s="25"/>
    </row>
    <row r="32" spans="1:7" ht="15.6" x14ac:dyDescent="0.3">
      <c r="A32" s="25"/>
      <c r="B32" s="25"/>
      <c r="C32" s="25"/>
      <c r="D32" s="25"/>
      <c r="E32" s="25"/>
      <c r="F32" s="25"/>
      <c r="G32" s="25"/>
    </row>
    <row r="33" spans="1:7" ht="15.6" x14ac:dyDescent="0.3">
      <c r="A33" s="20" t="s">
        <v>72</v>
      </c>
      <c r="B33" s="25"/>
      <c r="C33" s="25"/>
      <c r="D33" s="25"/>
      <c r="E33" s="25"/>
      <c r="F33" s="25"/>
      <c r="G33" s="25"/>
    </row>
    <row r="34" spans="1:7" ht="15.6" x14ac:dyDescent="0.3">
      <c r="A34" s="25"/>
      <c r="B34" s="25"/>
      <c r="C34" s="25"/>
      <c r="D34" s="25"/>
      <c r="E34" s="25"/>
      <c r="F34" s="25"/>
      <c r="G34" s="25"/>
    </row>
    <row r="35" spans="1:7" ht="16.2" thickBot="1" x14ac:dyDescent="0.35">
      <c r="A35" s="25"/>
      <c r="B35" s="25"/>
      <c r="C35" s="25"/>
      <c r="D35" s="25"/>
      <c r="E35" s="25"/>
      <c r="F35" s="25"/>
      <c r="G35" s="25"/>
    </row>
    <row r="36" spans="1:7" ht="16.2" thickTop="1" x14ac:dyDescent="0.3">
      <c r="A36" s="399" t="s">
        <v>57</v>
      </c>
      <c r="B36" s="360"/>
      <c r="C36" s="360"/>
      <c r="D36" s="360"/>
      <c r="E36" s="361"/>
      <c r="F36" s="25"/>
      <c r="G36" s="25"/>
    </row>
    <row r="37" spans="1:7" ht="16.5" customHeight="1" x14ac:dyDescent="0.3">
      <c r="A37" s="357"/>
      <c r="B37" s="112"/>
      <c r="C37" s="112"/>
      <c r="D37" s="112"/>
      <c r="E37" s="362"/>
      <c r="F37" s="25"/>
      <c r="G37" s="25"/>
    </row>
    <row r="38" spans="1:7" ht="15.6" x14ac:dyDescent="0.3">
      <c r="A38" s="363" t="s">
        <v>90</v>
      </c>
      <c r="B38" s="112"/>
      <c r="C38" s="112"/>
      <c r="D38" s="112"/>
      <c r="E38" s="362"/>
      <c r="F38" s="25" t="s">
        <v>101</v>
      </c>
      <c r="G38" s="25"/>
    </row>
    <row r="39" spans="1:7" ht="15.6" x14ac:dyDescent="0.3">
      <c r="A39" s="363" t="s">
        <v>364</v>
      </c>
      <c r="B39" s="112"/>
      <c r="C39" s="112"/>
      <c r="D39" s="112"/>
      <c r="E39" s="362"/>
      <c r="F39" s="25"/>
      <c r="G39" s="25"/>
    </row>
    <row r="40" spans="1:7" ht="15.6" x14ac:dyDescent="0.3">
      <c r="A40" s="364"/>
      <c r="B40" s="112"/>
      <c r="C40" s="112"/>
      <c r="D40" s="112"/>
      <c r="E40" s="362"/>
      <c r="F40" s="25"/>
      <c r="G40" s="25"/>
    </row>
    <row r="41" spans="1:7" ht="15.6" x14ac:dyDescent="0.3">
      <c r="A41" s="365" t="s">
        <v>52</v>
      </c>
      <c r="B41" s="288" t="s">
        <v>53</v>
      </c>
      <c r="C41" s="366" t="s">
        <v>55</v>
      </c>
      <c r="D41" s="366" t="s">
        <v>54</v>
      </c>
      <c r="E41" s="367" t="s">
        <v>56</v>
      </c>
      <c r="F41" s="25"/>
      <c r="G41" s="25"/>
    </row>
    <row r="42" spans="1:7" ht="15.6" x14ac:dyDescent="0.3">
      <c r="A42" s="364" t="str">
        <f>IF(C42="","","PA Holdings Limited 10 pence Ordinary Shares")</f>
        <v/>
      </c>
      <c r="B42" s="368" t="str">
        <f>IF(A42="","",'s104 holdings'!C8)</f>
        <v/>
      </c>
      <c r="C42" s="122" t="str">
        <f>IF('s104 holdings'!F8&lt;&gt;0,-'s104 holdings'!F8,"")</f>
        <v/>
      </c>
      <c r="D42" s="121" t="str">
        <f>IF(C42="","",'s104 holdings'!O8)</f>
        <v/>
      </c>
      <c r="E42" s="369" t="str">
        <f>IF(C42="","",'s104 holdings'!P8)</f>
        <v/>
      </c>
      <c r="F42" s="25"/>
      <c r="G42" s="25"/>
    </row>
    <row r="43" spans="1:7" ht="15.6" x14ac:dyDescent="0.3">
      <c r="A43" s="364" t="str">
        <f>IF(C43="","","PA Holdings Limited 10 pence Ordinary Shares")</f>
        <v/>
      </c>
      <c r="B43" s="368" t="str">
        <f>IF(A43="","","20/06/2009")</f>
        <v/>
      </c>
      <c r="C43" s="122" t="str">
        <f>IF(B10&gt;0,B10,"")</f>
        <v/>
      </c>
      <c r="D43" s="121" t="str">
        <f>IF(C43="","",C43*7.27)</f>
        <v/>
      </c>
      <c r="E43" s="369" t="str">
        <f>IF(C43="","",C43*2.97)</f>
        <v/>
      </c>
      <c r="F43" s="370" t="str">
        <f>IF(C43="","","This is your share option sale")</f>
        <v/>
      </c>
      <c r="G43" s="25"/>
    </row>
    <row r="44" spans="1:7" ht="15.6" x14ac:dyDescent="0.3">
      <c r="A44" s="364" t="str">
        <f t="shared" ref="A44:A49" si="0">IF(C44="","","PA Consulting Group Limited 10 pence Ordinary Shares")</f>
        <v/>
      </c>
      <c r="B44" s="368" t="str">
        <f>IF(A44="","",'s104 holdings'!C15)</f>
        <v/>
      </c>
      <c r="C44" s="122" t="str">
        <f>IF('s104 holdings'!F15&lt;&gt;0,-'s104 holdings'!F15,"")</f>
        <v/>
      </c>
      <c r="D44" s="121" t="str">
        <f>IF(C44="","",'s104 holdings'!O15)</f>
        <v/>
      </c>
      <c r="E44" s="369" t="str">
        <f>IF(D44="","",'s104 holdings'!P15)</f>
        <v/>
      </c>
      <c r="F44" s="370" t="str">
        <f>IF(C44="","","This is your share transfer")</f>
        <v/>
      </c>
      <c r="G44" s="25"/>
    </row>
    <row r="45" spans="1:7" ht="15.6" x14ac:dyDescent="0.3">
      <c r="A45" s="364" t="str">
        <f t="shared" si="0"/>
        <v/>
      </c>
      <c r="B45" s="368" t="str">
        <f>IF(A45="","",'s104 holdings'!C19)</f>
        <v/>
      </c>
      <c r="C45" s="122" t="str">
        <f>IF('s104 holdings'!F19&lt;&gt;0,-'s104 holdings'!F19,"")</f>
        <v/>
      </c>
      <c r="D45" s="121" t="str">
        <f>IF(C45="","",'s104 holdings'!O19)</f>
        <v/>
      </c>
      <c r="E45" s="369" t="str">
        <f>IF(C45="","",'s104 holdings'!P19)</f>
        <v/>
      </c>
      <c r="F45" s="43"/>
      <c r="G45" s="25"/>
    </row>
    <row r="46" spans="1:7" ht="15.6" x14ac:dyDescent="0.3">
      <c r="A46" s="364" t="str">
        <f t="shared" si="0"/>
        <v/>
      </c>
      <c r="B46" s="368" t="str">
        <f>IF(A46="","",'s104 holdings'!C21)</f>
        <v/>
      </c>
      <c r="C46" s="122" t="str">
        <f>IF('s104 holdings'!F21&lt;&gt;0,-'s104 holdings'!F21,"")</f>
        <v/>
      </c>
      <c r="D46" s="121" t="str">
        <f>IF(C46="","",'s104 holdings'!O21)</f>
        <v/>
      </c>
      <c r="E46" s="369" t="str">
        <f>IF(D46="","",'s104 holdings'!P21)</f>
        <v/>
      </c>
      <c r="F46" s="370" t="str">
        <f>IF(C46="","","This is your share transfer")</f>
        <v/>
      </c>
      <c r="G46" s="25"/>
    </row>
    <row r="47" spans="1:7" ht="15.6" x14ac:dyDescent="0.3">
      <c r="A47" s="364" t="str">
        <f t="shared" si="0"/>
        <v/>
      </c>
      <c r="B47" s="368" t="s">
        <v>111</v>
      </c>
      <c r="C47" s="122" t="str">
        <f>IF('s104 holdings'!F22&lt;&gt;0,-'s104 holdings'!F22,"")</f>
        <v/>
      </c>
      <c r="D47" s="121" t="str">
        <f>IF(C47="","",'s104 holdings'!O22)</f>
        <v/>
      </c>
      <c r="E47" s="369" t="str">
        <f>IF(C47="","",'s104 holdings'!P22)</f>
        <v/>
      </c>
      <c r="F47" s="43"/>
      <c r="G47" s="25"/>
    </row>
    <row r="48" spans="1:7" ht="15.6" x14ac:dyDescent="0.3">
      <c r="A48" s="364" t="str">
        <f t="shared" si="0"/>
        <v/>
      </c>
      <c r="B48" s="368" t="str">
        <f>IF(A48="","",'s104 holdings'!C25)</f>
        <v/>
      </c>
      <c r="C48" s="122" t="str">
        <f>IF('s104 holdings'!F25&lt;&gt;0,-'s104 holdings'!F25,"")</f>
        <v/>
      </c>
      <c r="D48" s="121" t="str">
        <f>IF(C48="","",'s104 holdings'!O25)</f>
        <v/>
      </c>
      <c r="E48" s="369" t="str">
        <f>IF(C48="","",'s104 holdings'!P25)</f>
        <v/>
      </c>
      <c r="F48" s="43"/>
      <c r="G48" s="25"/>
    </row>
    <row r="49" spans="1:7" ht="15.6" x14ac:dyDescent="0.3">
      <c r="A49" s="364" t="str">
        <f t="shared" si="0"/>
        <v/>
      </c>
      <c r="B49" s="368" t="str">
        <f>IF(A49="","",'s104 holdings'!C26)</f>
        <v/>
      </c>
      <c r="C49" s="122" t="str">
        <f>IF('s104 holdings'!K26&lt;&gt;0,-'s104 holdings'!K26,"")</f>
        <v/>
      </c>
      <c r="D49" s="121" t="str">
        <f>IF(C49="","",'s104 holdings'!O26)</f>
        <v/>
      </c>
      <c r="E49" s="404" t="str">
        <f>IF(C49="","",'s104 holdings'!P26)</f>
        <v/>
      </c>
      <c r="F49" s="43"/>
      <c r="G49" s="25"/>
    </row>
    <row r="50" spans="1:7" ht="23.25" customHeight="1" x14ac:dyDescent="0.3">
      <c r="A50" s="364" t="s">
        <v>63</v>
      </c>
      <c r="B50" s="318"/>
      <c r="C50" s="319"/>
      <c r="D50" s="405">
        <f>SUM(D42:D49)</f>
        <v>0</v>
      </c>
      <c r="E50" s="406">
        <f>SUM(E42:E49)</f>
        <v>0</v>
      </c>
      <c r="F50" s="43"/>
      <c r="G50" s="25"/>
    </row>
    <row r="51" spans="1:7" ht="16.2" thickBot="1" x14ac:dyDescent="0.35">
      <c r="A51" s="373"/>
      <c r="B51" s="374"/>
      <c r="C51" s="375"/>
      <c r="D51" s="376"/>
      <c r="E51" s="377"/>
      <c r="F51" s="43"/>
      <c r="G51" s="25"/>
    </row>
    <row r="52" spans="1:7" ht="16.2" thickTop="1" x14ac:dyDescent="0.3">
      <c r="A52" s="112"/>
      <c r="B52" s="318"/>
      <c r="C52" s="319"/>
      <c r="D52" s="320"/>
      <c r="E52" s="321"/>
      <c r="F52" s="43"/>
      <c r="G52" s="25"/>
    </row>
    <row r="53" spans="1:7" ht="15.6" x14ac:dyDescent="0.3">
      <c r="A53" s="112"/>
      <c r="B53" s="318"/>
      <c r="C53" s="319"/>
      <c r="D53" s="320"/>
      <c r="E53" s="321"/>
      <c r="F53" s="43"/>
      <c r="G53" s="25"/>
    </row>
    <row r="54" spans="1:7" ht="15.6" x14ac:dyDescent="0.3">
      <c r="A54" s="112"/>
      <c r="B54" s="318"/>
      <c r="C54" s="319"/>
      <c r="D54" s="320"/>
      <c r="E54" s="321"/>
      <c r="F54" s="43"/>
      <c r="G54" s="25"/>
    </row>
    <row r="55" spans="1:7" ht="15.6" x14ac:dyDescent="0.3">
      <c r="A55" s="112"/>
      <c r="B55" s="318"/>
      <c r="C55" s="319"/>
      <c r="D55" s="320"/>
      <c r="E55" s="321"/>
      <c r="F55" s="43"/>
      <c r="G55" s="25"/>
    </row>
    <row r="56" spans="1:7" ht="16.2" thickBot="1" x14ac:dyDescent="0.35">
      <c r="A56" s="25"/>
      <c r="B56" s="334"/>
      <c r="C56" s="335"/>
      <c r="D56" s="332"/>
      <c r="E56" s="333"/>
      <c r="F56" s="43"/>
      <c r="G56" s="25"/>
    </row>
    <row r="57" spans="1:7" ht="16.2" thickTop="1" x14ac:dyDescent="0.3">
      <c r="A57" s="399" t="s">
        <v>112</v>
      </c>
      <c r="B57" s="378"/>
      <c r="C57" s="379"/>
      <c r="D57" s="380"/>
      <c r="E57" s="381"/>
      <c r="F57" s="43"/>
      <c r="G57" s="25"/>
    </row>
    <row r="58" spans="1:7" ht="15.6" x14ac:dyDescent="0.3">
      <c r="A58" s="363" t="s">
        <v>75</v>
      </c>
      <c r="B58" s="318"/>
      <c r="C58" s="319"/>
      <c r="D58" s="320"/>
      <c r="E58" s="382"/>
      <c r="F58" s="43"/>
      <c r="G58" s="25"/>
    </row>
    <row r="59" spans="1:7" ht="15.6" x14ac:dyDescent="0.3">
      <c r="A59" s="364"/>
      <c r="B59" s="318"/>
      <c r="C59" s="319"/>
      <c r="D59" s="320"/>
      <c r="E59" s="382"/>
      <c r="F59" s="43"/>
      <c r="G59" s="25"/>
    </row>
    <row r="60" spans="1:7" ht="15.6" x14ac:dyDescent="0.3">
      <c r="A60" s="357" t="s">
        <v>73</v>
      </c>
      <c r="B60" s="318"/>
      <c r="C60" s="319"/>
      <c r="D60" s="320"/>
      <c r="E60" s="382"/>
      <c r="F60" s="43"/>
      <c r="G60" s="25"/>
    </row>
    <row r="61" spans="1:7" ht="15.6" x14ac:dyDescent="0.3">
      <c r="A61" s="357"/>
      <c r="B61" s="318"/>
      <c r="C61" s="319"/>
      <c r="D61" s="320"/>
      <c r="E61" s="382"/>
      <c r="F61" s="43"/>
      <c r="G61" s="25"/>
    </row>
    <row r="62" spans="1:7" ht="15" customHeight="1" x14ac:dyDescent="0.3">
      <c r="A62" s="400" t="s">
        <v>74</v>
      </c>
      <c r="B62" s="318"/>
      <c r="C62" s="401" t="s">
        <v>76</v>
      </c>
      <c r="D62" s="402"/>
      <c r="E62" s="403"/>
      <c r="F62" s="43"/>
      <c r="G62" s="25"/>
    </row>
    <row r="63" spans="1:7" ht="15" customHeight="1" x14ac:dyDescent="0.3">
      <c r="A63" s="383">
        <f>ROUNDDOWN(E50,0)</f>
        <v>0</v>
      </c>
      <c r="B63" s="318"/>
      <c r="C63" s="384">
        <f>MAX(0,D25)</f>
        <v>0</v>
      </c>
      <c r="D63" s="385"/>
      <c r="E63" s="386"/>
      <c r="F63" s="43"/>
      <c r="G63" s="25"/>
    </row>
    <row r="64" spans="1:7" ht="15" customHeight="1" x14ac:dyDescent="0.3">
      <c r="A64" s="364"/>
      <c r="B64" s="320"/>
      <c r="C64" s="319"/>
      <c r="D64" s="320"/>
      <c r="E64" s="382"/>
      <c r="F64" s="43"/>
      <c r="G64" s="25"/>
    </row>
    <row r="65" spans="1:7" ht="15" customHeight="1" x14ac:dyDescent="0.3">
      <c r="A65" s="400" t="s">
        <v>77</v>
      </c>
      <c r="B65" s="318"/>
      <c r="C65" s="401" t="s">
        <v>78</v>
      </c>
      <c r="D65" s="402"/>
      <c r="E65" s="403"/>
      <c r="F65" s="43"/>
      <c r="G65" s="25"/>
    </row>
    <row r="66" spans="1:7" ht="15" customHeight="1" x14ac:dyDescent="0.3">
      <c r="A66" s="383">
        <v>0</v>
      </c>
      <c r="B66" s="318"/>
      <c r="C66" s="387" t="s">
        <v>80</v>
      </c>
      <c r="D66" s="388"/>
      <c r="E66" s="389"/>
      <c r="F66" s="43"/>
      <c r="G66" s="25"/>
    </row>
    <row r="67" spans="1:7" ht="15" customHeight="1" x14ac:dyDescent="0.3">
      <c r="A67" s="364"/>
      <c r="B67" s="320"/>
      <c r="C67" s="319"/>
      <c r="D67" s="320"/>
      <c r="E67" s="382"/>
      <c r="F67" s="43"/>
      <c r="G67" s="25"/>
    </row>
    <row r="68" spans="1:7" ht="15" customHeight="1" x14ac:dyDescent="0.3">
      <c r="A68" s="400" t="s">
        <v>82</v>
      </c>
      <c r="B68" s="318"/>
      <c r="C68" s="401" t="s">
        <v>87</v>
      </c>
      <c r="D68" s="402"/>
      <c r="E68" s="403"/>
      <c r="F68" s="43"/>
      <c r="G68" s="25"/>
    </row>
    <row r="69" spans="1:7" ht="15" customHeight="1" x14ac:dyDescent="0.3">
      <c r="A69" s="383">
        <f>MIN(-B25,B24)</f>
        <v>0</v>
      </c>
      <c r="B69" s="318"/>
      <c r="C69" s="387" t="s">
        <v>80</v>
      </c>
      <c r="D69" s="385"/>
      <c r="E69" s="386"/>
      <c r="F69" s="43"/>
      <c r="G69" s="25"/>
    </row>
    <row r="70" spans="1:7" ht="15.6" x14ac:dyDescent="0.3">
      <c r="A70" s="364"/>
      <c r="B70" s="112"/>
      <c r="C70" s="112"/>
      <c r="D70" s="112"/>
      <c r="E70" s="362"/>
      <c r="F70" s="25"/>
      <c r="G70" s="25"/>
    </row>
    <row r="71" spans="1:7" ht="15" customHeight="1" x14ac:dyDescent="0.3">
      <c r="A71" s="400" t="s">
        <v>83</v>
      </c>
      <c r="B71" s="318"/>
      <c r="C71" s="401" t="s">
        <v>86</v>
      </c>
      <c r="D71" s="402"/>
      <c r="E71" s="403"/>
      <c r="F71" s="43"/>
      <c r="G71" s="25"/>
    </row>
    <row r="72" spans="1:7" ht="15" customHeight="1" x14ac:dyDescent="0.3">
      <c r="A72" s="383">
        <f>MAX(0,A63-A66-A69)</f>
        <v>0</v>
      </c>
      <c r="B72" s="318"/>
      <c r="C72" s="387" t="s">
        <v>80</v>
      </c>
      <c r="D72" s="385"/>
      <c r="E72" s="386"/>
      <c r="F72" s="43"/>
      <c r="G72" s="25"/>
    </row>
    <row r="73" spans="1:7" ht="15.6" x14ac:dyDescent="0.3">
      <c r="A73" s="364"/>
      <c r="B73" s="112"/>
      <c r="C73" s="112"/>
      <c r="D73" s="112"/>
      <c r="E73" s="362"/>
      <c r="F73" s="25"/>
      <c r="G73" s="25"/>
    </row>
    <row r="74" spans="1:7" ht="15" customHeight="1" x14ac:dyDescent="0.3">
      <c r="A74" s="400" t="s">
        <v>81</v>
      </c>
      <c r="B74" s="318"/>
      <c r="C74" s="401" t="s">
        <v>88</v>
      </c>
      <c r="D74" s="402"/>
      <c r="E74" s="403"/>
      <c r="F74" s="43"/>
      <c r="G74" s="25"/>
    </row>
    <row r="75" spans="1:7" ht="15" customHeight="1" x14ac:dyDescent="0.3">
      <c r="A75" s="383">
        <f>-B27</f>
        <v>9600</v>
      </c>
      <c r="B75" s="318"/>
      <c r="C75" s="387" t="s">
        <v>80</v>
      </c>
      <c r="D75" s="385"/>
      <c r="E75" s="386"/>
      <c r="F75" s="43"/>
      <c r="G75" s="25"/>
    </row>
    <row r="76" spans="1:7" ht="15.6" x14ac:dyDescent="0.3">
      <c r="A76" s="364"/>
      <c r="B76" s="112"/>
      <c r="C76" s="112"/>
      <c r="D76" s="112"/>
      <c r="E76" s="362"/>
      <c r="F76" s="25"/>
      <c r="G76" s="25"/>
    </row>
    <row r="77" spans="1:7" ht="15" customHeight="1" x14ac:dyDescent="0.3">
      <c r="A77" s="400" t="s">
        <v>84</v>
      </c>
      <c r="B77" s="318"/>
      <c r="C77" s="401" t="s">
        <v>89</v>
      </c>
      <c r="D77" s="402"/>
      <c r="E77" s="403"/>
      <c r="F77" s="43"/>
      <c r="G77" s="25"/>
    </row>
    <row r="78" spans="1:7" ht="15" customHeight="1" x14ac:dyDescent="0.3">
      <c r="A78" s="383">
        <f>MAX(0,A72-A75)</f>
        <v>0</v>
      </c>
      <c r="B78" s="318"/>
      <c r="C78" s="387" t="s">
        <v>80</v>
      </c>
      <c r="D78" s="385"/>
      <c r="E78" s="386"/>
      <c r="F78" s="43"/>
      <c r="G78" s="25"/>
    </row>
    <row r="79" spans="1:7" ht="15.6" x14ac:dyDescent="0.3">
      <c r="A79" s="364"/>
      <c r="B79" s="112"/>
      <c r="C79" s="112"/>
      <c r="D79" s="112"/>
      <c r="E79" s="362"/>
      <c r="F79" s="25"/>
      <c r="G79" s="25"/>
    </row>
    <row r="80" spans="1:7" ht="15" customHeight="1" x14ac:dyDescent="0.3">
      <c r="A80" s="400" t="s">
        <v>85</v>
      </c>
      <c r="B80" s="318"/>
      <c r="C80" s="112"/>
      <c r="D80" s="112"/>
      <c r="E80" s="362"/>
      <c r="F80" s="25"/>
      <c r="G80" s="25"/>
    </row>
    <row r="81" spans="1:7" ht="15" customHeight="1" x14ac:dyDescent="0.3">
      <c r="A81" s="390" t="s">
        <v>80</v>
      </c>
      <c r="B81" s="318"/>
      <c r="C81" s="112"/>
      <c r="D81" s="112"/>
      <c r="E81" s="362"/>
      <c r="F81" s="25"/>
      <c r="G81" s="25"/>
    </row>
    <row r="82" spans="1:7" ht="5.25" customHeight="1" thickBot="1" x14ac:dyDescent="0.35">
      <c r="A82" s="373"/>
      <c r="B82" s="391"/>
      <c r="C82" s="391"/>
      <c r="D82" s="391"/>
      <c r="E82" s="392"/>
      <c r="F82" s="25"/>
      <c r="G82" s="25"/>
    </row>
    <row r="83" spans="1:7" ht="16.8" thickTop="1" thickBot="1" x14ac:dyDescent="0.35">
      <c r="A83" s="25"/>
      <c r="B83" s="25"/>
      <c r="C83" s="25"/>
      <c r="D83" s="25"/>
      <c r="E83" s="25"/>
      <c r="F83" s="25"/>
      <c r="G83" s="25"/>
    </row>
    <row r="84" spans="1:7" ht="16.2" thickTop="1" x14ac:dyDescent="0.3">
      <c r="A84" s="399" t="s">
        <v>113</v>
      </c>
      <c r="B84" s="378"/>
      <c r="C84" s="379"/>
      <c r="D84" s="380"/>
      <c r="E84" s="381"/>
      <c r="F84" s="43"/>
      <c r="G84" s="25"/>
    </row>
    <row r="85" spans="1:7" ht="15.6" x14ac:dyDescent="0.3">
      <c r="A85" s="364"/>
      <c r="B85" s="318"/>
      <c r="C85" s="319"/>
      <c r="D85" s="320"/>
      <c r="E85" s="382"/>
      <c r="F85" s="43"/>
      <c r="G85" s="25"/>
    </row>
    <row r="86" spans="1:7" ht="15.6" x14ac:dyDescent="0.3">
      <c r="A86" s="357" t="s">
        <v>65</v>
      </c>
      <c r="B86" s="318"/>
      <c r="C86" s="319"/>
      <c r="D86" s="320"/>
      <c r="E86" s="382"/>
      <c r="F86" s="43"/>
      <c r="G86" s="25"/>
    </row>
    <row r="87" spans="1:7" ht="15.6" x14ac:dyDescent="0.3">
      <c r="A87" s="357"/>
      <c r="B87" s="318"/>
      <c r="C87" s="319"/>
      <c r="D87" s="320"/>
      <c r="E87" s="382"/>
      <c r="F87" s="43"/>
      <c r="G87" s="25"/>
    </row>
    <row r="88" spans="1:7" ht="15" customHeight="1" x14ac:dyDescent="0.3">
      <c r="A88" s="400" t="s">
        <v>64</v>
      </c>
      <c r="B88" s="318"/>
      <c r="C88" s="401" t="s">
        <v>66</v>
      </c>
      <c r="D88" s="402"/>
      <c r="E88" s="403"/>
      <c r="F88" s="43"/>
      <c r="G88" s="25"/>
    </row>
    <row r="89" spans="1:7" ht="15" customHeight="1" x14ac:dyDescent="0.3">
      <c r="A89" s="393">
        <f>COUNT(C42:C49)</f>
        <v>0</v>
      </c>
      <c r="B89" s="318"/>
      <c r="C89" s="394">
        <f>ROUNDDOWN(E50,0)</f>
        <v>0</v>
      </c>
      <c r="D89" s="385"/>
      <c r="E89" s="386"/>
      <c r="F89" s="43"/>
      <c r="G89" s="25"/>
    </row>
    <row r="90" spans="1:7" ht="15" customHeight="1" x14ac:dyDescent="0.3">
      <c r="A90" s="364"/>
      <c r="B90" s="320"/>
      <c r="C90" s="319"/>
      <c r="D90" s="320"/>
      <c r="E90" s="382"/>
      <c r="F90" s="43"/>
      <c r="G90" s="25"/>
    </row>
    <row r="91" spans="1:7" ht="15" customHeight="1" x14ac:dyDescent="0.3">
      <c r="A91" s="400" t="s">
        <v>67</v>
      </c>
      <c r="B91" s="318"/>
      <c r="C91" s="401" t="s">
        <v>68</v>
      </c>
      <c r="D91" s="402"/>
      <c r="E91" s="403"/>
      <c r="F91" s="43"/>
      <c r="G91" s="25"/>
    </row>
    <row r="92" spans="1:7" ht="15" customHeight="1" x14ac:dyDescent="0.3">
      <c r="A92" s="395">
        <f>ROUNDDOWN(D50,0)</f>
        <v>0</v>
      </c>
      <c r="B92" s="318"/>
      <c r="C92" s="394" t="s">
        <v>69</v>
      </c>
      <c r="D92" s="385"/>
      <c r="E92" s="386"/>
      <c r="F92" s="43"/>
      <c r="G92" s="25"/>
    </row>
    <row r="93" spans="1:7" ht="15" customHeight="1" x14ac:dyDescent="0.3">
      <c r="A93" s="364"/>
      <c r="B93" s="320"/>
      <c r="C93" s="319"/>
      <c r="D93" s="320"/>
      <c r="E93" s="382"/>
      <c r="F93" s="43"/>
      <c r="G93" s="25"/>
    </row>
    <row r="94" spans="1:7" ht="15" customHeight="1" x14ac:dyDescent="0.3">
      <c r="A94" s="400" t="s">
        <v>70</v>
      </c>
      <c r="B94" s="318"/>
      <c r="C94" s="401" t="s">
        <v>71</v>
      </c>
      <c r="D94" s="402"/>
      <c r="E94" s="403"/>
      <c r="F94" s="43"/>
      <c r="G94" s="25"/>
    </row>
    <row r="95" spans="1:7" ht="15" customHeight="1" x14ac:dyDescent="0.3">
      <c r="A95" s="395">
        <f>D50-E50</f>
        <v>0</v>
      </c>
      <c r="B95" s="318"/>
      <c r="C95" s="394" t="s">
        <v>69</v>
      </c>
      <c r="D95" s="385"/>
      <c r="E95" s="386"/>
      <c r="F95" s="43"/>
      <c r="G95" s="25"/>
    </row>
    <row r="96" spans="1:7" ht="15.6" x14ac:dyDescent="0.3">
      <c r="A96" s="364"/>
      <c r="B96" s="112"/>
      <c r="C96" s="112"/>
      <c r="D96" s="112"/>
      <c r="E96" s="362"/>
      <c r="F96" s="25"/>
      <c r="G96" s="25"/>
    </row>
    <row r="97" spans="1:7" ht="16.2" thickBot="1" x14ac:dyDescent="0.35">
      <c r="A97" s="373"/>
      <c r="B97" s="391"/>
      <c r="C97" s="391"/>
      <c r="D97" s="391"/>
      <c r="E97" s="392"/>
      <c r="F97" s="25"/>
      <c r="G97" s="25"/>
    </row>
    <row r="98" spans="1:7" ht="16.2" thickTop="1" x14ac:dyDescent="0.3">
      <c r="A98" s="25"/>
      <c r="B98" s="25"/>
      <c r="C98" s="25"/>
      <c r="D98" s="25"/>
      <c r="E98" s="25"/>
      <c r="F98" s="25"/>
      <c r="G98" s="25"/>
    </row>
    <row r="99" spans="1:7" ht="15.6" x14ac:dyDescent="0.3">
      <c r="A99" s="25"/>
      <c r="B99" s="25"/>
      <c r="C99" s="25"/>
      <c r="D99" s="25"/>
      <c r="E99" s="25"/>
      <c r="F99" s="25"/>
      <c r="G99" s="25"/>
    </row>
    <row r="100" spans="1:7" ht="15.6" x14ac:dyDescent="0.3">
      <c r="A100" s="25"/>
      <c r="B100" s="25"/>
      <c r="C100" s="25"/>
      <c r="D100" s="25"/>
      <c r="E100" s="25"/>
      <c r="F100" s="25"/>
      <c r="G100" s="25"/>
    </row>
    <row r="101" spans="1:7" ht="15.6" x14ac:dyDescent="0.3">
      <c r="A101" s="25"/>
      <c r="B101" s="25"/>
      <c r="C101" s="25"/>
      <c r="D101" s="25"/>
      <c r="E101" s="25"/>
      <c r="F101" s="25"/>
      <c r="G101" s="25"/>
    </row>
    <row r="102" spans="1:7" ht="15.6" x14ac:dyDescent="0.3">
      <c r="A102" s="25"/>
      <c r="B102" s="25"/>
      <c r="C102" s="25"/>
      <c r="D102" s="25"/>
      <c r="E102" s="25"/>
      <c r="F102" s="25"/>
      <c r="G102" s="25"/>
    </row>
    <row r="103" spans="1:7" ht="15.6" x14ac:dyDescent="0.3">
      <c r="A103" s="25"/>
      <c r="B103" s="25"/>
      <c r="C103" s="25"/>
      <c r="D103" s="25"/>
      <c r="E103" s="25"/>
      <c r="F103" s="25"/>
      <c r="G103" s="25"/>
    </row>
    <row r="104" spans="1:7" ht="15.6" x14ac:dyDescent="0.3">
      <c r="A104" s="25"/>
      <c r="B104" s="25"/>
      <c r="C104" s="25"/>
      <c r="D104" s="25"/>
      <c r="E104" s="25"/>
      <c r="F104" s="25"/>
      <c r="G104" s="25"/>
    </row>
  </sheetData>
  <phoneticPr fontId="3" type="noConversion"/>
  <hyperlinks>
    <hyperlink ref="A5" r:id="rId1" xr:uid="{00000000-0004-0000-0C00-000000000000}"/>
    <hyperlink ref="C5" r:id="rId2" xr:uid="{00000000-0004-0000-0C00-000001000000}"/>
  </hyperlinks>
  <printOptions horizontalCentered="1"/>
  <pageMargins left="0.27559055118110237" right="0.23622047244094491" top="0.98425196850393704" bottom="5.393700787401575" header="0.51181102362204722" footer="0.51181102362204722"/>
  <pageSetup paperSize="9" scale="65" fitToHeight="3" orientation="portrait" r:id="rId3"/>
  <headerFooter alignWithMargins="0">
    <oddFooter>&amp;C&amp;"Arial,Bold"&amp;12 2008/09 Tax Return Reporting</oddFooter>
  </headerFooter>
  <rowBreaks count="1" manualBreakCount="1">
    <brk id="5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6"/>
  <sheetViews>
    <sheetView workbookViewId="0"/>
  </sheetViews>
  <sheetFormatPr defaultRowHeight="13.2" x14ac:dyDescent="0.25"/>
  <cols>
    <col min="3" max="3" width="21.5546875" customWidth="1"/>
    <col min="4" max="4" width="7.88671875" style="9" customWidth="1"/>
    <col min="5" max="5" width="1" customWidth="1"/>
    <col min="6" max="6" width="20.44140625" style="10" bestFit="1" customWidth="1"/>
    <col min="7" max="7" width="11.33203125" customWidth="1"/>
    <col min="8" max="8" width="33" bestFit="1" customWidth="1"/>
    <col min="9" max="9" width="32.5546875" bestFit="1" customWidth="1"/>
    <col min="10" max="10" width="17" customWidth="1"/>
    <col min="11" max="11" width="14" customWidth="1"/>
    <col min="12" max="12" width="17" customWidth="1"/>
  </cols>
  <sheetData>
    <row r="1" spans="1:13" ht="21.6" thickBot="1" x14ac:dyDescent="0.45">
      <c r="A1" s="88" t="s">
        <v>223</v>
      </c>
      <c r="B1" s="59"/>
      <c r="C1" s="59"/>
      <c r="D1" s="60"/>
      <c r="E1" s="16"/>
      <c r="F1" s="61"/>
      <c r="G1" s="16"/>
      <c r="H1" s="16"/>
      <c r="I1" s="16"/>
      <c r="J1" s="16"/>
      <c r="K1" s="16"/>
      <c r="L1" s="16"/>
      <c r="M1" s="16"/>
    </row>
    <row r="2" spans="1:13" ht="16.2" thickBot="1" x14ac:dyDescent="0.35">
      <c r="A2" s="89" t="s">
        <v>144</v>
      </c>
      <c r="B2" s="90"/>
      <c r="C2" s="90"/>
      <c r="D2" s="91"/>
      <c r="E2" s="92"/>
      <c r="F2" s="622"/>
      <c r="G2" s="622"/>
      <c r="H2" s="622"/>
      <c r="I2" s="622"/>
      <c r="J2" s="622"/>
      <c r="K2" s="622"/>
      <c r="L2" s="622"/>
      <c r="M2" s="16"/>
    </row>
    <row r="3" spans="1:13" ht="25.5" customHeight="1" x14ac:dyDescent="0.3">
      <c r="A3" s="498" t="s">
        <v>145</v>
      </c>
      <c r="B3" s="499" t="s">
        <v>146</v>
      </c>
      <c r="C3" s="499" t="s">
        <v>147</v>
      </c>
      <c r="D3" s="499" t="s">
        <v>148</v>
      </c>
      <c r="E3" s="448"/>
      <c r="F3" s="445" t="s">
        <v>149</v>
      </c>
      <c r="G3" s="625" t="s">
        <v>150</v>
      </c>
      <c r="H3" s="623" t="s">
        <v>349</v>
      </c>
      <c r="I3" s="618"/>
      <c r="J3" s="618"/>
      <c r="K3" s="618"/>
      <c r="L3" s="624"/>
      <c r="M3" s="16"/>
    </row>
    <row r="4" spans="1:13" ht="13.8" x14ac:dyDescent="0.3">
      <c r="A4" s="62">
        <v>1992</v>
      </c>
      <c r="B4" s="63" t="s">
        <v>151</v>
      </c>
      <c r="C4" s="63" t="s">
        <v>152</v>
      </c>
      <c r="D4" s="64">
        <v>0.15</v>
      </c>
      <c r="E4" s="66"/>
      <c r="F4" s="446" t="s">
        <v>153</v>
      </c>
      <c r="G4" s="626"/>
      <c r="H4" s="628" t="s">
        <v>154</v>
      </c>
      <c r="I4" s="628" t="s">
        <v>155</v>
      </c>
      <c r="J4" s="629">
        <v>0.33333000000000002</v>
      </c>
      <c r="K4" s="629">
        <v>0.33333000000000002</v>
      </c>
      <c r="L4" s="632">
        <v>0.33333000000000002</v>
      </c>
      <c r="M4" s="16"/>
    </row>
    <row r="5" spans="1:13" ht="13.8" x14ac:dyDescent="0.3">
      <c r="A5" s="62">
        <v>1992</v>
      </c>
      <c r="B5" s="63" t="s">
        <v>156</v>
      </c>
      <c r="C5" s="63" t="s">
        <v>157</v>
      </c>
      <c r="D5" s="64">
        <v>0.1</v>
      </c>
      <c r="E5" s="66"/>
      <c r="F5" s="446"/>
      <c r="G5" s="626"/>
      <c r="H5" s="626"/>
      <c r="I5" s="626"/>
      <c r="J5" s="630"/>
      <c r="K5" s="630"/>
      <c r="L5" s="633"/>
      <c r="M5" s="16"/>
    </row>
    <row r="6" spans="1:13" ht="14.4" thickBot="1" x14ac:dyDescent="0.35">
      <c r="A6" s="62">
        <v>1993</v>
      </c>
      <c r="B6" s="63" t="s">
        <v>151</v>
      </c>
      <c r="C6" s="63" t="s">
        <v>158</v>
      </c>
      <c r="D6" s="64">
        <v>0.14000000000000001</v>
      </c>
      <c r="E6" s="66"/>
      <c r="F6" s="447"/>
      <c r="G6" s="627"/>
      <c r="H6" s="627"/>
      <c r="I6" s="627"/>
      <c r="J6" s="631"/>
      <c r="K6" s="631"/>
      <c r="L6" s="634"/>
      <c r="M6" s="16"/>
    </row>
    <row r="7" spans="1:13" ht="15.6" x14ac:dyDescent="0.3">
      <c r="A7" s="62">
        <v>1993</v>
      </c>
      <c r="B7" s="63" t="s">
        <v>156</v>
      </c>
      <c r="C7" s="63" t="s">
        <v>159</v>
      </c>
      <c r="D7" s="64">
        <v>0.22500000000000001</v>
      </c>
      <c r="E7" s="66"/>
      <c r="F7" s="503" t="s">
        <v>160</v>
      </c>
      <c r="G7" s="67"/>
      <c r="H7" s="67"/>
      <c r="I7" s="67"/>
      <c r="J7" s="67"/>
      <c r="K7" s="67"/>
      <c r="L7" s="68"/>
      <c r="M7" s="16"/>
    </row>
    <row r="8" spans="1:13" ht="13.8" x14ac:dyDescent="0.3">
      <c r="A8" s="62">
        <v>1994</v>
      </c>
      <c r="B8" s="63" t="s">
        <v>151</v>
      </c>
      <c r="C8" s="63" t="s">
        <v>161</v>
      </c>
      <c r="D8" s="64">
        <v>0.4</v>
      </c>
      <c r="E8" s="66"/>
      <c r="F8" s="504">
        <v>1993</v>
      </c>
      <c r="G8" s="75">
        <v>34495</v>
      </c>
      <c r="H8" s="75">
        <v>36404</v>
      </c>
      <c r="I8" s="75">
        <v>35674</v>
      </c>
      <c r="J8" s="69"/>
      <c r="K8" s="69"/>
      <c r="L8" s="70"/>
      <c r="M8" s="69"/>
    </row>
    <row r="9" spans="1:13" ht="13.8" x14ac:dyDescent="0.3">
      <c r="A9" s="62">
        <v>1994</v>
      </c>
      <c r="B9" s="63" t="s">
        <v>156</v>
      </c>
      <c r="C9" s="63" t="s">
        <v>162</v>
      </c>
      <c r="D9" s="64">
        <v>0.5</v>
      </c>
      <c r="E9" s="66"/>
      <c r="F9" s="504" t="s">
        <v>163</v>
      </c>
      <c r="G9" s="75">
        <v>34715</v>
      </c>
      <c r="H9" s="75">
        <v>35811</v>
      </c>
      <c r="I9" s="75">
        <v>35811</v>
      </c>
      <c r="J9" s="69"/>
      <c r="K9" s="69"/>
      <c r="L9" s="70"/>
      <c r="M9" s="69"/>
    </row>
    <row r="10" spans="1:13" ht="13.8" x14ac:dyDescent="0.3">
      <c r="A10" s="62">
        <v>1995</v>
      </c>
      <c r="B10" s="63" t="s">
        <v>164</v>
      </c>
      <c r="C10" s="63" t="s">
        <v>165</v>
      </c>
      <c r="D10" s="64">
        <v>0.5</v>
      </c>
      <c r="E10" s="66"/>
      <c r="F10" s="504">
        <v>1994</v>
      </c>
      <c r="G10" s="75">
        <v>34880</v>
      </c>
      <c r="H10" s="75">
        <v>36770</v>
      </c>
      <c r="I10" s="75">
        <v>36039</v>
      </c>
      <c r="J10" s="69"/>
      <c r="K10" s="69"/>
      <c r="L10" s="70"/>
      <c r="M10" s="69"/>
    </row>
    <row r="11" spans="1:13" ht="13.8" x14ac:dyDescent="0.3">
      <c r="A11" s="62">
        <v>1995</v>
      </c>
      <c r="B11" s="63" t="s">
        <v>156</v>
      </c>
      <c r="C11" s="63" t="s">
        <v>166</v>
      </c>
      <c r="D11" s="64">
        <v>0.52500000000000002</v>
      </c>
      <c r="E11" s="66"/>
      <c r="F11" s="504"/>
      <c r="G11" s="75"/>
      <c r="H11" s="75"/>
      <c r="I11" s="75"/>
      <c r="J11" s="69"/>
      <c r="K11" s="69"/>
      <c r="L11" s="70"/>
      <c r="M11" s="69"/>
    </row>
    <row r="12" spans="1:13" ht="13.8" x14ac:dyDescent="0.3">
      <c r="A12" s="62">
        <v>1996</v>
      </c>
      <c r="B12" s="63" t="s">
        <v>164</v>
      </c>
      <c r="C12" s="63" t="s">
        <v>167</v>
      </c>
      <c r="D12" s="64">
        <v>0.75</v>
      </c>
      <c r="E12" s="66"/>
      <c r="F12" s="78"/>
      <c r="G12" s="63"/>
      <c r="H12" s="63"/>
      <c r="I12" s="63"/>
      <c r="J12" s="65"/>
      <c r="K12" s="69"/>
      <c r="L12" s="70"/>
      <c r="M12" s="69"/>
    </row>
    <row r="13" spans="1:13" ht="13.8" x14ac:dyDescent="0.3">
      <c r="A13" s="62">
        <v>1996</v>
      </c>
      <c r="B13" s="63" t="s">
        <v>156</v>
      </c>
      <c r="C13" s="63" t="s">
        <v>168</v>
      </c>
      <c r="D13" s="64">
        <v>0.9</v>
      </c>
      <c r="E13" s="66"/>
      <c r="F13" s="504">
        <v>1995</v>
      </c>
      <c r="G13" s="75">
        <v>35461</v>
      </c>
      <c r="H13" s="75">
        <v>37135</v>
      </c>
      <c r="I13" s="75">
        <v>36404</v>
      </c>
      <c r="J13" s="69"/>
      <c r="K13" s="69"/>
      <c r="L13" s="70"/>
      <c r="M13" s="69"/>
    </row>
    <row r="14" spans="1:13" ht="13.8" x14ac:dyDescent="0.3">
      <c r="A14" s="62">
        <v>1997</v>
      </c>
      <c r="B14" s="63" t="s">
        <v>164</v>
      </c>
      <c r="C14" s="63" t="s">
        <v>169</v>
      </c>
      <c r="D14" s="64">
        <v>0.93500000000000005</v>
      </c>
      <c r="E14" s="66"/>
      <c r="F14" s="504">
        <v>1996</v>
      </c>
      <c r="G14" s="75">
        <v>35551</v>
      </c>
      <c r="H14" s="75">
        <v>37500</v>
      </c>
      <c r="I14" s="75">
        <v>36770</v>
      </c>
      <c r="J14" s="69"/>
      <c r="K14" s="69"/>
      <c r="L14" s="70"/>
      <c r="M14" s="69"/>
    </row>
    <row r="15" spans="1:13" ht="13.8" x14ac:dyDescent="0.3">
      <c r="A15" s="62">
        <v>1997</v>
      </c>
      <c r="B15" s="63" t="s">
        <v>156</v>
      </c>
      <c r="C15" s="63" t="s">
        <v>170</v>
      </c>
      <c r="D15" s="64">
        <v>1.26</v>
      </c>
      <c r="E15" s="66"/>
      <c r="F15" s="504"/>
      <c r="G15" s="75"/>
      <c r="H15" s="75"/>
      <c r="I15" s="75"/>
      <c r="J15" s="69"/>
      <c r="K15" s="69"/>
      <c r="L15" s="70"/>
      <c r="M15" s="69"/>
    </row>
    <row r="16" spans="1:13" ht="15.6" x14ac:dyDescent="0.3">
      <c r="A16" s="62">
        <v>1998</v>
      </c>
      <c r="B16" s="63" t="s">
        <v>171</v>
      </c>
      <c r="C16" s="63" t="s">
        <v>172</v>
      </c>
      <c r="D16" s="64">
        <v>1.36</v>
      </c>
      <c r="E16" s="66"/>
      <c r="F16" s="505" t="s">
        <v>173</v>
      </c>
      <c r="G16" s="75"/>
      <c r="H16" s="75"/>
      <c r="I16" s="75"/>
      <c r="J16" s="69"/>
      <c r="K16" s="69"/>
      <c r="L16" s="70"/>
      <c r="M16" s="69"/>
    </row>
    <row r="17" spans="1:13" ht="15" customHeight="1" x14ac:dyDescent="0.3">
      <c r="A17" s="71">
        <v>1998</v>
      </c>
      <c r="B17" s="72" t="s">
        <v>174</v>
      </c>
      <c r="C17" s="63" t="s">
        <v>175</v>
      </c>
      <c r="D17" s="73">
        <v>1.64</v>
      </c>
      <c r="E17" s="66"/>
      <c r="F17" s="506" t="s">
        <v>176</v>
      </c>
      <c r="G17" s="75">
        <v>36100</v>
      </c>
      <c r="H17" s="98" t="s">
        <v>177</v>
      </c>
      <c r="I17" s="98" t="s">
        <v>178</v>
      </c>
      <c r="J17" s="69"/>
      <c r="K17" s="69"/>
      <c r="L17" s="70"/>
      <c r="M17" s="69"/>
    </row>
    <row r="18" spans="1:13" ht="13.8" x14ac:dyDescent="0.3">
      <c r="A18" s="62">
        <v>1999</v>
      </c>
      <c r="B18" s="63" t="s">
        <v>171</v>
      </c>
      <c r="C18" s="63" t="s">
        <v>179</v>
      </c>
      <c r="D18" s="64">
        <v>1.95</v>
      </c>
      <c r="E18" s="66"/>
      <c r="F18" s="78">
        <v>1998</v>
      </c>
      <c r="G18" s="75">
        <v>36341</v>
      </c>
      <c r="H18" s="75">
        <v>38047</v>
      </c>
      <c r="I18" s="75">
        <v>37316</v>
      </c>
      <c r="J18" s="69"/>
      <c r="K18" s="69"/>
      <c r="L18" s="70"/>
      <c r="M18" s="69"/>
    </row>
    <row r="19" spans="1:13" ht="13.8" x14ac:dyDescent="0.3">
      <c r="A19" s="62">
        <v>1999</v>
      </c>
      <c r="B19" s="63" t="s">
        <v>174</v>
      </c>
      <c r="C19" s="63" t="s">
        <v>180</v>
      </c>
      <c r="D19" s="64">
        <v>2.17</v>
      </c>
      <c r="E19" s="66"/>
      <c r="F19" s="78"/>
      <c r="G19" s="75"/>
      <c r="H19" s="75"/>
      <c r="I19" s="75"/>
      <c r="J19" s="69"/>
      <c r="K19" s="69"/>
      <c r="L19" s="70"/>
      <c r="M19" s="69"/>
    </row>
    <row r="20" spans="1:13" ht="13.8" x14ac:dyDescent="0.3">
      <c r="A20" s="62">
        <v>2000</v>
      </c>
      <c r="B20" s="63" t="s">
        <v>171</v>
      </c>
      <c r="C20" s="63" t="s">
        <v>181</v>
      </c>
      <c r="D20" s="64">
        <v>2.61</v>
      </c>
      <c r="E20" s="66"/>
      <c r="F20" s="78">
        <v>1999</v>
      </c>
      <c r="G20" s="75">
        <v>36707</v>
      </c>
      <c r="H20" s="75">
        <v>38412</v>
      </c>
      <c r="I20" s="75">
        <v>37681</v>
      </c>
      <c r="J20" s="65"/>
      <c r="K20" s="65"/>
      <c r="L20" s="66"/>
      <c r="M20" s="65"/>
    </row>
    <row r="21" spans="1:13" ht="13.8" x14ac:dyDescent="0.3">
      <c r="A21" s="62">
        <v>2000</v>
      </c>
      <c r="B21" s="63" t="s">
        <v>174</v>
      </c>
      <c r="C21" s="63" t="s">
        <v>182</v>
      </c>
      <c r="D21" s="64">
        <v>2.83</v>
      </c>
      <c r="E21" s="66"/>
      <c r="F21" s="78"/>
      <c r="G21" s="63"/>
      <c r="H21" s="63"/>
      <c r="I21" s="63"/>
      <c r="J21" s="63"/>
      <c r="K21" s="63"/>
      <c r="L21" s="99"/>
      <c r="M21" s="65"/>
    </row>
    <row r="22" spans="1:13" ht="13.8" x14ac:dyDescent="0.3">
      <c r="A22" s="62">
        <v>2001</v>
      </c>
      <c r="B22" s="63" t="s">
        <v>171</v>
      </c>
      <c r="C22" s="63" t="s">
        <v>183</v>
      </c>
      <c r="D22" s="64">
        <v>3.06</v>
      </c>
      <c r="E22" s="66"/>
      <c r="F22" s="78">
        <v>2000</v>
      </c>
      <c r="G22" s="75">
        <v>37072</v>
      </c>
      <c r="H22" s="75">
        <v>38777</v>
      </c>
      <c r="I22" s="75"/>
      <c r="J22" s="75">
        <v>37316</v>
      </c>
      <c r="K22" s="75">
        <v>37681</v>
      </c>
      <c r="L22" s="76">
        <v>38047</v>
      </c>
      <c r="M22" s="69"/>
    </row>
    <row r="23" spans="1:13" ht="13.8" x14ac:dyDescent="0.3">
      <c r="A23" s="62">
        <v>2001</v>
      </c>
      <c r="B23" s="63" t="s">
        <v>174</v>
      </c>
      <c r="C23" s="63" t="s">
        <v>184</v>
      </c>
      <c r="D23" s="64">
        <v>3.36</v>
      </c>
      <c r="E23" s="66"/>
      <c r="F23" s="78"/>
      <c r="G23" s="75"/>
      <c r="H23" s="75"/>
      <c r="I23" s="75"/>
      <c r="J23" s="75"/>
      <c r="K23" s="75"/>
      <c r="L23" s="76"/>
      <c r="M23" s="69"/>
    </row>
    <row r="24" spans="1:13" ht="13.8" x14ac:dyDescent="0.3">
      <c r="A24" s="62">
        <v>2002</v>
      </c>
      <c r="B24" s="63" t="s">
        <v>171</v>
      </c>
      <c r="C24" s="63" t="s">
        <v>185</v>
      </c>
      <c r="D24" s="64">
        <v>3.5</v>
      </c>
      <c r="E24" s="66"/>
      <c r="F24" s="78">
        <v>2001</v>
      </c>
      <c r="G24" s="75">
        <v>37437</v>
      </c>
      <c r="H24" s="75">
        <v>39142</v>
      </c>
      <c r="I24" s="75"/>
      <c r="J24" s="75">
        <v>37681</v>
      </c>
      <c r="K24" s="75">
        <v>38047</v>
      </c>
      <c r="L24" s="76">
        <v>38412</v>
      </c>
      <c r="M24" s="69"/>
    </row>
    <row r="25" spans="1:13" ht="13.8" x14ac:dyDescent="0.3">
      <c r="A25" s="62">
        <v>2002</v>
      </c>
      <c r="B25" s="63" t="s">
        <v>174</v>
      </c>
      <c r="C25" s="63" t="s">
        <v>186</v>
      </c>
      <c r="D25" s="64">
        <v>3.54</v>
      </c>
      <c r="E25" s="66"/>
      <c r="F25" s="78"/>
      <c r="G25" s="75"/>
      <c r="H25" s="75"/>
      <c r="I25" s="75"/>
      <c r="J25" s="69"/>
      <c r="K25" s="69"/>
      <c r="L25" s="70"/>
      <c r="M25" s="69"/>
    </row>
    <row r="26" spans="1:13" ht="14.4" thickBot="1" x14ac:dyDescent="0.35">
      <c r="A26" s="62">
        <v>2003</v>
      </c>
      <c r="B26" s="63" t="s">
        <v>171</v>
      </c>
      <c r="C26" s="63" t="s">
        <v>187</v>
      </c>
      <c r="D26" s="64">
        <v>3.75</v>
      </c>
      <c r="E26" s="66"/>
      <c r="F26" s="78">
        <v>2002</v>
      </c>
      <c r="G26" s="75">
        <v>37802</v>
      </c>
      <c r="H26" s="75">
        <v>39508</v>
      </c>
      <c r="I26" s="75">
        <v>38777</v>
      </c>
      <c r="J26" s="69"/>
      <c r="K26" s="69"/>
      <c r="L26" s="70"/>
      <c r="M26" s="69"/>
    </row>
    <row r="27" spans="1:13" ht="15.6" x14ac:dyDescent="0.3">
      <c r="A27" s="62">
        <v>2003</v>
      </c>
      <c r="B27" s="63" t="s">
        <v>174</v>
      </c>
      <c r="C27" s="63" t="s">
        <v>188</v>
      </c>
      <c r="D27" s="64">
        <v>3.78</v>
      </c>
      <c r="E27" s="66"/>
      <c r="F27" s="78"/>
      <c r="G27" s="75"/>
      <c r="H27" s="75"/>
      <c r="I27" s="75"/>
      <c r="J27" s="619" t="s">
        <v>189</v>
      </c>
      <c r="K27" s="620"/>
      <c r="L27" s="621"/>
      <c r="M27" s="69"/>
    </row>
    <row r="28" spans="1:13" ht="13.8" x14ac:dyDescent="0.3">
      <c r="A28" s="62">
        <v>2004</v>
      </c>
      <c r="B28" s="63" t="s">
        <v>171</v>
      </c>
      <c r="C28" s="63" t="s">
        <v>190</v>
      </c>
      <c r="D28" s="64">
        <v>3.9</v>
      </c>
      <c r="E28" s="66"/>
      <c r="F28" s="78">
        <v>2003</v>
      </c>
      <c r="G28" s="75">
        <v>38122</v>
      </c>
      <c r="H28" s="75">
        <v>39873</v>
      </c>
      <c r="I28" s="75">
        <v>39142</v>
      </c>
      <c r="J28" s="95" t="s">
        <v>191</v>
      </c>
      <c r="K28" s="96" t="s">
        <v>192</v>
      </c>
      <c r="L28" s="97" t="s">
        <v>193</v>
      </c>
      <c r="M28" s="69"/>
    </row>
    <row r="29" spans="1:13" ht="13.8" x14ac:dyDescent="0.3">
      <c r="A29" s="62">
        <v>2005</v>
      </c>
      <c r="B29" s="63" t="s">
        <v>171</v>
      </c>
      <c r="C29" s="63" t="s">
        <v>194</v>
      </c>
      <c r="D29" s="64">
        <v>4.3</v>
      </c>
      <c r="E29" s="66"/>
      <c r="F29" s="78">
        <v>2004</v>
      </c>
      <c r="G29" s="75">
        <v>38533</v>
      </c>
      <c r="H29" s="75">
        <v>40238</v>
      </c>
      <c r="I29" s="75">
        <v>39508</v>
      </c>
      <c r="J29" s="74">
        <v>38471</v>
      </c>
      <c r="K29" s="75">
        <v>39699</v>
      </c>
      <c r="L29" s="76">
        <v>42122</v>
      </c>
      <c r="M29" s="69"/>
    </row>
    <row r="30" spans="1:13" ht="13.8" x14ac:dyDescent="0.3">
      <c r="A30" s="62">
        <v>2005</v>
      </c>
      <c r="B30" s="63" t="s">
        <v>174</v>
      </c>
      <c r="C30" s="63" t="s">
        <v>195</v>
      </c>
      <c r="D30" s="64">
        <v>4.8</v>
      </c>
      <c r="E30" s="66"/>
      <c r="F30" s="414"/>
      <c r="G30" s="75"/>
      <c r="H30" s="75"/>
      <c r="I30" s="75"/>
      <c r="J30" s="74"/>
      <c r="K30" s="75"/>
      <c r="L30" s="76"/>
      <c r="M30" s="69"/>
    </row>
    <row r="31" spans="1:13" ht="13.8" x14ac:dyDescent="0.3">
      <c r="A31" s="62">
        <v>2006</v>
      </c>
      <c r="B31" s="63" t="s">
        <v>171</v>
      </c>
      <c r="C31" s="63" t="s">
        <v>196</v>
      </c>
      <c r="D31" s="64">
        <v>5</v>
      </c>
      <c r="E31" s="66"/>
      <c r="F31" s="414">
        <v>2005</v>
      </c>
      <c r="G31" s="75">
        <v>38828</v>
      </c>
      <c r="H31" s="75">
        <v>40603</v>
      </c>
      <c r="I31" s="75">
        <v>39873</v>
      </c>
      <c r="J31" s="74">
        <v>38828</v>
      </c>
      <c r="K31" s="75">
        <v>40063</v>
      </c>
      <c r="L31" s="76">
        <v>42480</v>
      </c>
      <c r="M31" s="69"/>
    </row>
    <row r="32" spans="1:13" ht="13.8" x14ac:dyDescent="0.3">
      <c r="A32" s="62">
        <v>2006</v>
      </c>
      <c r="B32" s="63" t="s">
        <v>197</v>
      </c>
      <c r="C32" s="63" t="s">
        <v>198</v>
      </c>
      <c r="D32" s="64">
        <v>6.2</v>
      </c>
      <c r="E32" s="66"/>
      <c r="F32" s="414"/>
      <c r="G32" s="75"/>
      <c r="H32" s="75"/>
      <c r="I32" s="75"/>
      <c r="J32" s="74"/>
      <c r="K32" s="75"/>
      <c r="L32" s="76"/>
      <c r="M32" s="69"/>
    </row>
    <row r="33" spans="1:13" ht="13.8" x14ac:dyDescent="0.3">
      <c r="A33" s="62">
        <v>2007</v>
      </c>
      <c r="B33" s="63" t="s">
        <v>171</v>
      </c>
      <c r="C33" s="63" t="s">
        <v>199</v>
      </c>
      <c r="D33" s="64">
        <v>6.38</v>
      </c>
      <c r="E33" s="66"/>
      <c r="F33" s="414">
        <v>2006</v>
      </c>
      <c r="G33" s="75">
        <v>39196</v>
      </c>
      <c r="H33" s="75">
        <v>40969</v>
      </c>
      <c r="I33" s="75">
        <v>40238</v>
      </c>
      <c r="J33" s="74">
        <v>39206</v>
      </c>
      <c r="K33" s="75">
        <v>40429</v>
      </c>
      <c r="L33" s="76">
        <v>42858</v>
      </c>
      <c r="M33" s="69"/>
    </row>
    <row r="34" spans="1:13" ht="13.8" x14ac:dyDescent="0.3">
      <c r="A34" s="62">
        <v>2007</v>
      </c>
      <c r="B34" s="63" t="s">
        <v>174</v>
      </c>
      <c r="C34" s="63" t="s">
        <v>200</v>
      </c>
      <c r="D34" s="64">
        <v>6.78</v>
      </c>
      <c r="E34" s="66"/>
      <c r="F34" s="414"/>
      <c r="G34" s="75"/>
      <c r="H34" s="75"/>
      <c r="I34" s="75"/>
      <c r="J34" s="74"/>
      <c r="K34" s="75"/>
      <c r="L34" s="76"/>
      <c r="M34" s="69"/>
    </row>
    <row r="35" spans="1:13" ht="13.8" x14ac:dyDescent="0.3">
      <c r="A35" s="62">
        <v>2008</v>
      </c>
      <c r="B35" s="63" t="s">
        <v>171</v>
      </c>
      <c r="C35" s="63" t="s">
        <v>201</v>
      </c>
      <c r="D35" s="64">
        <v>7.27</v>
      </c>
      <c r="E35" s="66"/>
      <c r="F35" s="414"/>
      <c r="G35" s="75"/>
      <c r="H35" s="75"/>
      <c r="I35" s="75"/>
      <c r="J35" s="74"/>
      <c r="K35" s="75"/>
      <c r="L35" s="76"/>
      <c r="M35" s="69"/>
    </row>
    <row r="36" spans="1:13" ht="13.8" x14ac:dyDescent="0.3">
      <c r="A36" s="62">
        <v>2008</v>
      </c>
      <c r="B36" s="63" t="s">
        <v>174</v>
      </c>
      <c r="C36" s="63" t="s">
        <v>202</v>
      </c>
      <c r="D36" s="64">
        <v>5.5</v>
      </c>
      <c r="E36" s="66"/>
      <c r="F36" s="78">
        <v>2007</v>
      </c>
      <c r="G36" s="75">
        <v>39706</v>
      </c>
      <c r="H36" s="75">
        <v>41334</v>
      </c>
      <c r="I36" s="75">
        <v>40603</v>
      </c>
      <c r="J36" s="74">
        <v>39707</v>
      </c>
      <c r="K36" s="75">
        <v>40794</v>
      </c>
      <c r="L36" s="76">
        <v>43358</v>
      </c>
      <c r="M36" s="69"/>
    </row>
    <row r="37" spans="1:13" ht="14.4" thickBot="1" x14ac:dyDescent="0.35">
      <c r="A37" s="62">
        <v>2009</v>
      </c>
      <c r="B37" s="63" t="s">
        <v>171</v>
      </c>
      <c r="C37" s="63" t="s">
        <v>203</v>
      </c>
      <c r="D37" s="64">
        <v>6.88</v>
      </c>
      <c r="E37" s="66"/>
      <c r="F37" s="414">
        <v>2008</v>
      </c>
      <c r="G37" s="75">
        <v>39931</v>
      </c>
      <c r="H37" s="75">
        <v>41699</v>
      </c>
      <c r="I37" s="75">
        <v>40969</v>
      </c>
      <c r="J37" s="74">
        <v>39994</v>
      </c>
      <c r="K37" s="75">
        <v>41162</v>
      </c>
      <c r="L37" s="76">
        <v>43646</v>
      </c>
      <c r="M37" s="69"/>
    </row>
    <row r="38" spans="1:13" ht="15.6" x14ac:dyDescent="0.3">
      <c r="A38" s="62">
        <v>2009</v>
      </c>
      <c r="B38" s="63" t="s">
        <v>174</v>
      </c>
      <c r="C38" s="63" t="s">
        <v>204</v>
      </c>
      <c r="D38" s="64">
        <v>7.16</v>
      </c>
      <c r="E38" s="66"/>
      <c r="F38" s="414"/>
      <c r="G38" s="75"/>
      <c r="H38" s="75"/>
      <c r="I38" s="75"/>
      <c r="J38" s="635" t="s">
        <v>285</v>
      </c>
      <c r="K38" s="636"/>
      <c r="L38" s="637"/>
      <c r="M38" s="69"/>
    </row>
    <row r="39" spans="1:13" ht="13.8" x14ac:dyDescent="0.3">
      <c r="A39" s="62">
        <v>2010</v>
      </c>
      <c r="B39" s="63" t="s">
        <v>171</v>
      </c>
      <c r="C39" s="63" t="s">
        <v>205</v>
      </c>
      <c r="D39" s="64">
        <v>7.83</v>
      </c>
      <c r="E39" s="66"/>
      <c r="F39" s="414" t="s">
        <v>206</v>
      </c>
      <c r="G39" s="75">
        <v>40261</v>
      </c>
      <c r="H39" s="75">
        <v>42064</v>
      </c>
      <c r="I39" s="75" t="s">
        <v>207</v>
      </c>
      <c r="J39" s="95" t="s">
        <v>191</v>
      </c>
      <c r="K39" s="96" t="s">
        <v>192</v>
      </c>
      <c r="L39" s="97" t="s">
        <v>193</v>
      </c>
      <c r="M39" s="69"/>
    </row>
    <row r="40" spans="1:13" ht="13.8" x14ac:dyDescent="0.3">
      <c r="A40" s="62">
        <v>2010</v>
      </c>
      <c r="B40" s="63" t="s">
        <v>174</v>
      </c>
      <c r="C40" s="63" t="s">
        <v>208</v>
      </c>
      <c r="D40" s="64">
        <v>8.07</v>
      </c>
      <c r="E40" s="66"/>
      <c r="F40" s="414" t="s">
        <v>209</v>
      </c>
      <c r="G40" s="75">
        <v>40305</v>
      </c>
      <c r="H40" s="75">
        <v>42064</v>
      </c>
      <c r="I40" s="75">
        <v>41334</v>
      </c>
      <c r="J40" s="74">
        <v>40645</v>
      </c>
      <c r="K40" s="75">
        <v>41741</v>
      </c>
      <c r="L40" s="76">
        <v>42471</v>
      </c>
      <c r="M40" s="69"/>
    </row>
    <row r="41" spans="1:13" ht="13.8" x14ac:dyDescent="0.3">
      <c r="A41" s="62">
        <v>2011</v>
      </c>
      <c r="B41" s="63" t="s">
        <v>171</v>
      </c>
      <c r="C41" s="63" t="s">
        <v>210</v>
      </c>
      <c r="D41" s="64">
        <v>8.31</v>
      </c>
      <c r="E41" s="66"/>
      <c r="F41" s="78">
        <v>2010</v>
      </c>
      <c r="G41" s="75">
        <v>40674</v>
      </c>
      <c r="H41" s="75">
        <v>42430</v>
      </c>
      <c r="I41" s="75">
        <v>41699</v>
      </c>
      <c r="J41" s="74">
        <v>40704</v>
      </c>
      <c r="K41" s="75">
        <v>41800</v>
      </c>
      <c r="L41" s="76">
        <v>42530</v>
      </c>
      <c r="M41" s="69"/>
    </row>
    <row r="42" spans="1:13" ht="13.8" x14ac:dyDescent="0.3">
      <c r="A42" s="62">
        <v>2011</v>
      </c>
      <c r="B42" s="63" t="s">
        <v>174</v>
      </c>
      <c r="C42" s="63" t="s">
        <v>248</v>
      </c>
      <c r="D42" s="64">
        <v>8.7200000000000006</v>
      </c>
      <c r="E42" s="66"/>
      <c r="F42" s="78"/>
      <c r="G42" s="75"/>
      <c r="H42" s="75"/>
      <c r="I42" s="75"/>
      <c r="J42" s="74">
        <v>40819</v>
      </c>
      <c r="K42" s="75">
        <v>41913</v>
      </c>
      <c r="L42" s="76">
        <v>42646</v>
      </c>
      <c r="M42" s="69"/>
    </row>
    <row r="43" spans="1:13" ht="13.8" x14ac:dyDescent="0.3">
      <c r="A43" s="62">
        <v>2012</v>
      </c>
      <c r="B43" s="63" t="s">
        <v>171</v>
      </c>
      <c r="C43" s="63" t="s">
        <v>249</v>
      </c>
      <c r="D43" s="64">
        <v>9.33</v>
      </c>
      <c r="E43" s="66"/>
      <c r="F43" s="78">
        <v>2011</v>
      </c>
      <c r="G43" s="75">
        <v>41040</v>
      </c>
      <c r="H43" s="75">
        <v>42795</v>
      </c>
      <c r="I43" s="75">
        <v>42064</v>
      </c>
      <c r="J43" s="74">
        <v>41012</v>
      </c>
      <c r="K43" s="75">
        <v>42107</v>
      </c>
      <c r="L43" s="76">
        <v>42837</v>
      </c>
      <c r="M43" s="69"/>
    </row>
    <row r="44" spans="1:13" ht="13.8" x14ac:dyDescent="0.3">
      <c r="A44" s="62">
        <v>2012</v>
      </c>
      <c r="B44" s="63" t="s">
        <v>174</v>
      </c>
      <c r="C44" s="63" t="s">
        <v>284</v>
      </c>
      <c r="D44" s="64">
        <v>9.76</v>
      </c>
      <c r="E44" s="66"/>
      <c r="F44" s="414"/>
      <c r="G44" s="69"/>
      <c r="H44" s="69"/>
      <c r="I44" s="69"/>
      <c r="J44" s="74">
        <v>41187</v>
      </c>
      <c r="K44" s="75">
        <v>42282</v>
      </c>
      <c r="L44" s="76">
        <v>43012</v>
      </c>
      <c r="M44" s="69"/>
    </row>
    <row r="45" spans="1:13" ht="13.8" x14ac:dyDescent="0.3">
      <c r="A45" s="62">
        <v>2013</v>
      </c>
      <c r="B45" s="63" t="s">
        <v>171</v>
      </c>
      <c r="C45" s="78" t="s">
        <v>367</v>
      </c>
      <c r="D45" s="64">
        <v>6.27</v>
      </c>
      <c r="E45" s="66"/>
      <c r="F45" s="414">
        <v>2012</v>
      </c>
      <c r="G45" s="75">
        <v>41418</v>
      </c>
      <c r="H45" s="75">
        <v>43160</v>
      </c>
      <c r="I45" s="75">
        <v>42430</v>
      </c>
      <c r="J45" s="74">
        <v>41372</v>
      </c>
      <c r="K45" s="75">
        <v>42468</v>
      </c>
      <c r="L45" s="76">
        <v>43197</v>
      </c>
      <c r="M45" s="69"/>
    </row>
    <row r="46" spans="1:13" ht="13.8" x14ac:dyDescent="0.3">
      <c r="A46" s="62">
        <v>2013</v>
      </c>
      <c r="B46" s="63" t="s">
        <v>174</v>
      </c>
      <c r="C46" s="78" t="s">
        <v>369</v>
      </c>
      <c r="D46" s="64">
        <v>6.68</v>
      </c>
      <c r="E46" s="66"/>
      <c r="F46" s="78"/>
      <c r="G46" s="69"/>
      <c r="H46" s="69"/>
      <c r="I46" s="69"/>
      <c r="J46" s="74">
        <v>41561</v>
      </c>
      <c r="K46" s="75">
        <v>42657</v>
      </c>
      <c r="L46" s="76">
        <v>43386</v>
      </c>
      <c r="M46" s="69"/>
    </row>
    <row r="47" spans="1:13" ht="13.8" x14ac:dyDescent="0.3">
      <c r="A47" s="449">
        <v>2014</v>
      </c>
      <c r="B47" s="407" t="s">
        <v>171</v>
      </c>
      <c r="C47" s="414" t="s">
        <v>368</v>
      </c>
      <c r="D47" s="80">
        <v>7.3</v>
      </c>
      <c r="E47" s="66"/>
      <c r="F47" s="78">
        <v>2013</v>
      </c>
      <c r="G47" s="75">
        <v>41759</v>
      </c>
      <c r="H47" s="75">
        <v>43525</v>
      </c>
      <c r="I47" s="75">
        <v>42795</v>
      </c>
      <c r="J47" s="74">
        <v>41740</v>
      </c>
      <c r="K47" s="75">
        <v>42836</v>
      </c>
      <c r="L47" s="76">
        <v>43565</v>
      </c>
      <c r="M47" s="69"/>
    </row>
    <row r="48" spans="1:13" ht="13.8" x14ac:dyDescent="0.3">
      <c r="A48" s="449">
        <v>2014</v>
      </c>
      <c r="B48" s="407" t="s">
        <v>174</v>
      </c>
      <c r="C48" s="414" t="s">
        <v>420</v>
      </c>
      <c r="D48" s="80">
        <v>7.88</v>
      </c>
      <c r="E48" s="66"/>
      <c r="F48" s="78"/>
      <c r="G48" s="75"/>
      <c r="H48" s="75"/>
      <c r="I48" s="75"/>
      <c r="J48" s="74">
        <v>41929</v>
      </c>
      <c r="K48" s="75">
        <v>43025</v>
      </c>
      <c r="L48" s="76">
        <v>43755</v>
      </c>
      <c r="M48" s="69"/>
    </row>
    <row r="49" spans="1:13" ht="13.8" x14ac:dyDescent="0.3">
      <c r="A49" s="449">
        <v>2015</v>
      </c>
      <c r="B49" s="407" t="s">
        <v>171</v>
      </c>
      <c r="C49" s="78" t="s">
        <v>423</v>
      </c>
      <c r="D49" s="80">
        <v>8.91</v>
      </c>
      <c r="E49" s="66"/>
      <c r="F49" s="78">
        <v>2014</v>
      </c>
      <c r="G49" s="500">
        <v>42104</v>
      </c>
      <c r="H49" s="75">
        <v>43891</v>
      </c>
      <c r="I49" s="75">
        <v>43160</v>
      </c>
      <c r="J49" s="501">
        <v>42103</v>
      </c>
      <c r="K49" s="500">
        <v>43199</v>
      </c>
      <c r="L49" s="502">
        <v>43929</v>
      </c>
      <c r="M49" s="69"/>
    </row>
    <row r="50" spans="1:13" ht="14.4" thickBot="1" x14ac:dyDescent="0.35">
      <c r="A50" s="450">
        <v>2015</v>
      </c>
      <c r="B50" s="451" t="s">
        <v>197</v>
      </c>
      <c r="C50" s="452" t="s">
        <v>472</v>
      </c>
      <c r="D50" s="84">
        <v>23.893444552605299</v>
      </c>
      <c r="E50" s="85"/>
      <c r="F50" s="452"/>
      <c r="G50" s="454"/>
      <c r="H50" s="77"/>
      <c r="I50" s="77"/>
      <c r="J50" s="455"/>
      <c r="K50" s="454"/>
      <c r="L50" s="456"/>
      <c r="M50" s="69"/>
    </row>
    <row r="51" spans="1:13" ht="25.5" customHeight="1" x14ac:dyDescent="0.3">
      <c r="A51" s="617" t="s">
        <v>211</v>
      </c>
      <c r="B51" s="618"/>
      <c r="C51" s="618"/>
      <c r="D51" s="93" t="s">
        <v>212</v>
      </c>
      <c r="E51" s="94"/>
      <c r="F51" s="78"/>
      <c r="G51" s="69"/>
      <c r="H51" s="69"/>
      <c r="I51" s="69"/>
      <c r="J51" s="75"/>
      <c r="K51" s="75"/>
      <c r="L51" s="75"/>
      <c r="M51" s="65"/>
    </row>
    <row r="52" spans="1:13" ht="13.8" x14ac:dyDescent="0.3">
      <c r="A52" s="62">
        <v>1988</v>
      </c>
      <c r="B52" s="63" t="s">
        <v>213</v>
      </c>
      <c r="C52" s="79" t="s">
        <v>214</v>
      </c>
      <c r="D52" s="64">
        <v>0.28000000000000003</v>
      </c>
      <c r="E52" s="66"/>
      <c r="F52" s="78"/>
      <c r="G52" s="69"/>
      <c r="H52" s="69"/>
      <c r="I52" s="69"/>
      <c r="M52" s="65"/>
    </row>
    <row r="53" spans="1:13" ht="13.8" x14ac:dyDescent="0.3">
      <c r="A53" s="62">
        <v>1988</v>
      </c>
      <c r="B53" s="63" t="s">
        <v>213</v>
      </c>
      <c r="C53" s="79" t="s">
        <v>215</v>
      </c>
      <c r="D53" s="64">
        <v>0.28000000000000003</v>
      </c>
      <c r="E53" s="66"/>
      <c r="F53" s="78"/>
      <c r="G53" s="65"/>
      <c r="H53" s="65"/>
      <c r="I53" s="65"/>
      <c r="J53" s="65"/>
      <c r="K53" s="16"/>
      <c r="L53" s="16"/>
      <c r="M53" s="16"/>
    </row>
    <row r="54" spans="1:13" ht="13.8" x14ac:dyDescent="0.3">
      <c r="A54" s="62">
        <v>1989</v>
      </c>
      <c r="B54" s="63" t="s">
        <v>216</v>
      </c>
      <c r="C54" s="79" t="s">
        <v>217</v>
      </c>
      <c r="D54" s="64">
        <v>0.34</v>
      </c>
      <c r="E54" s="66"/>
      <c r="F54" s="78"/>
      <c r="G54" s="65"/>
      <c r="H54" s="65"/>
      <c r="I54" s="65"/>
      <c r="J54" s="65"/>
      <c r="K54" s="16"/>
      <c r="L54" s="16"/>
      <c r="M54" s="16"/>
    </row>
    <row r="55" spans="1:13" ht="13.8" x14ac:dyDescent="0.3">
      <c r="A55" s="62">
        <v>1989</v>
      </c>
      <c r="B55" s="63" t="s">
        <v>213</v>
      </c>
      <c r="C55" s="79" t="s">
        <v>217</v>
      </c>
      <c r="D55" s="64">
        <v>0.34</v>
      </c>
      <c r="E55" s="66"/>
      <c r="F55" s="61"/>
      <c r="G55" s="16"/>
      <c r="H55" s="16"/>
      <c r="I55" s="16"/>
      <c r="J55" s="16"/>
      <c r="K55" s="16"/>
      <c r="L55" s="16"/>
      <c r="M55" s="16"/>
    </row>
    <row r="56" spans="1:13" ht="13.8" x14ac:dyDescent="0.3">
      <c r="A56" s="62">
        <v>1989</v>
      </c>
      <c r="B56" s="63" t="s">
        <v>197</v>
      </c>
      <c r="C56" s="79" t="s">
        <v>218</v>
      </c>
      <c r="D56" s="64">
        <v>0.42</v>
      </c>
      <c r="E56" s="66"/>
      <c r="F56" s="61"/>
      <c r="G56" s="16"/>
      <c r="H56" s="16"/>
      <c r="I56" s="16"/>
      <c r="J56" s="16"/>
      <c r="K56" s="16"/>
      <c r="L56" s="16"/>
      <c r="M56" s="16"/>
    </row>
    <row r="57" spans="1:13" ht="13.8" x14ac:dyDescent="0.3">
      <c r="A57" s="62">
        <v>1990</v>
      </c>
      <c r="B57" s="63" t="s">
        <v>164</v>
      </c>
      <c r="C57" s="79" t="s">
        <v>217</v>
      </c>
      <c r="D57" s="64">
        <v>0.42</v>
      </c>
      <c r="E57" s="66"/>
      <c r="F57" s="61"/>
      <c r="G57" s="16"/>
      <c r="H57" s="16"/>
      <c r="I57" s="16"/>
      <c r="J57" s="16"/>
      <c r="K57" s="16"/>
      <c r="L57" s="16"/>
      <c r="M57" s="16"/>
    </row>
    <row r="58" spans="1:13" ht="13.8" x14ac:dyDescent="0.3">
      <c r="A58" s="62">
        <v>1991</v>
      </c>
      <c r="B58" s="63" t="s">
        <v>216</v>
      </c>
      <c r="C58" s="79" t="s">
        <v>217</v>
      </c>
      <c r="D58" s="64">
        <v>0.28000000000000003</v>
      </c>
      <c r="E58" s="66"/>
      <c r="F58" s="61"/>
      <c r="G58" s="16"/>
      <c r="H58" s="16"/>
      <c r="I58" s="16"/>
      <c r="J58" s="16"/>
      <c r="K58" s="16"/>
      <c r="L58" s="16"/>
      <c r="M58" s="16"/>
    </row>
    <row r="59" spans="1:13" ht="13.8" x14ac:dyDescent="0.3">
      <c r="A59" s="62">
        <v>1992</v>
      </c>
      <c r="B59" s="63" t="s">
        <v>174</v>
      </c>
      <c r="C59" s="79" t="s">
        <v>217</v>
      </c>
      <c r="D59" s="64">
        <v>0.15</v>
      </c>
      <c r="E59" s="66"/>
      <c r="F59" s="61"/>
      <c r="G59" s="16"/>
      <c r="H59" s="16"/>
      <c r="I59" s="16"/>
      <c r="J59" s="16"/>
      <c r="K59" s="16"/>
      <c r="L59" s="16"/>
      <c r="M59" s="16"/>
    </row>
    <row r="60" spans="1:13" ht="13.8" x14ac:dyDescent="0.3">
      <c r="A60" s="62">
        <v>1989</v>
      </c>
      <c r="B60" s="63" t="s">
        <v>156</v>
      </c>
      <c r="C60" s="79" t="s">
        <v>219</v>
      </c>
      <c r="D60" s="64">
        <v>0.42</v>
      </c>
      <c r="E60" s="66"/>
      <c r="F60" s="61"/>
      <c r="G60" s="16"/>
      <c r="H60" s="16"/>
      <c r="I60" s="16"/>
      <c r="J60" s="16"/>
      <c r="K60" s="16"/>
      <c r="L60" s="16"/>
      <c r="M60" s="16"/>
    </row>
    <row r="61" spans="1:13" ht="13.8" x14ac:dyDescent="0.3">
      <c r="A61" s="62">
        <v>1990</v>
      </c>
      <c r="B61" s="63" t="s">
        <v>164</v>
      </c>
      <c r="C61" s="79" t="s">
        <v>220</v>
      </c>
      <c r="D61" s="64">
        <v>0.42</v>
      </c>
      <c r="E61" s="66"/>
      <c r="F61" s="61"/>
      <c r="G61" s="16"/>
      <c r="H61" s="16"/>
      <c r="I61" s="16"/>
      <c r="J61" s="16"/>
      <c r="K61" s="16"/>
      <c r="L61" s="16"/>
      <c r="M61" s="16"/>
    </row>
    <row r="62" spans="1:13" ht="13.8" x14ac:dyDescent="0.3">
      <c r="A62" s="62">
        <v>1990</v>
      </c>
      <c r="B62" s="63" t="s">
        <v>156</v>
      </c>
      <c r="C62" s="79" t="s">
        <v>221</v>
      </c>
      <c r="D62" s="80">
        <v>0.34</v>
      </c>
      <c r="E62" s="66"/>
      <c r="F62" s="61"/>
      <c r="G62" s="16"/>
      <c r="H62" s="16"/>
      <c r="I62" s="16"/>
      <c r="J62" s="16"/>
      <c r="K62" s="16"/>
      <c r="L62" s="16"/>
      <c r="M62" s="16"/>
    </row>
    <row r="63" spans="1:13" ht="14.4" thickBot="1" x14ac:dyDescent="0.35">
      <c r="A63" s="81">
        <v>1991</v>
      </c>
      <c r="B63" s="82" t="s">
        <v>151</v>
      </c>
      <c r="C63" s="83" t="s">
        <v>222</v>
      </c>
      <c r="D63" s="84">
        <v>0.28000000000000003</v>
      </c>
      <c r="E63" s="85"/>
      <c r="F63" s="61"/>
      <c r="G63" s="16"/>
      <c r="H63" s="16"/>
      <c r="I63" s="16"/>
      <c r="J63" s="16"/>
      <c r="K63" s="16"/>
      <c r="L63" s="16"/>
      <c r="M63" s="16"/>
    </row>
    <row r="64" spans="1:13" ht="13.8" x14ac:dyDescent="0.3">
      <c r="A64" s="63"/>
      <c r="B64" s="59"/>
      <c r="C64" s="86"/>
      <c r="D64" s="87"/>
      <c r="E64" s="16"/>
      <c r="F64" s="61"/>
      <c r="G64" s="16"/>
      <c r="H64" s="16"/>
      <c r="I64" s="16"/>
      <c r="J64" s="16"/>
      <c r="K64" s="16"/>
      <c r="L64" s="16"/>
      <c r="M64" s="16"/>
    </row>
    <row r="65" spans="1:4" x14ac:dyDescent="0.25">
      <c r="A65" s="6"/>
      <c r="B65" s="2"/>
      <c r="C65" s="11"/>
      <c r="D65" s="12"/>
    </row>
    <row r="66" spans="1:4" x14ac:dyDescent="0.25">
      <c r="A66" s="6"/>
      <c r="B66" s="2"/>
      <c r="C66" s="11"/>
      <c r="D66" s="12"/>
    </row>
  </sheetData>
  <mergeCells count="11">
    <mergeCell ref="A51:C51"/>
    <mergeCell ref="J27:L27"/>
    <mergeCell ref="F2:L2"/>
    <mergeCell ref="H3:L3"/>
    <mergeCell ref="G3:G6"/>
    <mergeCell ref="H4:H6"/>
    <mergeCell ref="I4:I6"/>
    <mergeCell ref="J4:J6"/>
    <mergeCell ref="K4:K6"/>
    <mergeCell ref="L4:L6"/>
    <mergeCell ref="J38:L38"/>
  </mergeCells>
  <phoneticPr fontId="0" type="noConversion"/>
  <pageMargins left="0.74803149606299213" right="0.74803149606299213" top="0.59055118110236227" bottom="0.39370078740157483" header="0.51181102362204722" footer="0.23622047244094491"/>
  <pageSetup paperSize="9" scale="7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
  <sheetViews>
    <sheetView workbookViewId="0"/>
  </sheetViews>
  <sheetFormatPr defaultRowHeight="13.2" x14ac:dyDescent="0.25"/>
  <cols>
    <col min="1" max="1" width="29.44140625" customWidth="1"/>
    <col min="2" max="3" width="22.6640625" customWidth="1"/>
    <col min="4" max="4" width="24.109375" customWidth="1"/>
    <col min="5" max="11" width="8.6640625" customWidth="1"/>
  </cols>
  <sheetData>
    <row r="1" spans="1:5" ht="21" x14ac:dyDescent="0.4">
      <c r="A1" s="101" t="s">
        <v>110</v>
      </c>
      <c r="B1" s="16"/>
      <c r="C1" s="16"/>
      <c r="D1" s="16"/>
      <c r="E1" s="16"/>
    </row>
    <row r="2" spans="1:5" ht="14.4" thickBot="1" x14ac:dyDescent="0.35">
      <c r="A2" s="16"/>
      <c r="B2" s="16"/>
      <c r="C2" s="16"/>
      <c r="D2" s="16"/>
      <c r="E2" s="16"/>
    </row>
    <row r="3" spans="1:5" ht="13.8" x14ac:dyDescent="0.3">
      <c r="A3" s="22" t="s">
        <v>97</v>
      </c>
      <c r="B3" s="102"/>
      <c r="C3" s="102"/>
      <c r="D3" s="17"/>
      <c r="E3" s="16"/>
    </row>
    <row r="4" spans="1:5" ht="13.8" x14ac:dyDescent="0.3">
      <c r="A4" s="23"/>
      <c r="B4" s="65"/>
      <c r="C4" s="65"/>
      <c r="D4" s="103"/>
      <c r="E4" s="16"/>
    </row>
    <row r="5" spans="1:5" ht="13.8" x14ac:dyDescent="0.3">
      <c r="A5" s="23"/>
      <c r="B5" s="100" t="s">
        <v>94</v>
      </c>
      <c r="C5" s="100" t="s">
        <v>95</v>
      </c>
      <c r="D5" s="104" t="s">
        <v>96</v>
      </c>
      <c r="E5" s="16"/>
    </row>
    <row r="6" spans="1:5" ht="13.8" x14ac:dyDescent="0.3">
      <c r="A6" s="105" t="s">
        <v>92</v>
      </c>
      <c r="B6" s="234">
        <v>0</v>
      </c>
      <c r="C6" s="235">
        <v>0</v>
      </c>
      <c r="D6" s="106">
        <f>IF(B6=0,0,IF(B6&lt;&gt;"",ROUND(C6/B6,2),""))</f>
        <v>0</v>
      </c>
      <c r="E6" s="16"/>
    </row>
    <row r="7" spans="1:5" ht="13.8" x14ac:dyDescent="0.3">
      <c r="A7" s="105" t="s">
        <v>93</v>
      </c>
      <c r="B7" s="234">
        <v>0</v>
      </c>
      <c r="C7" s="235">
        <v>0</v>
      </c>
      <c r="D7" s="106">
        <f>IF(B7=0,0,IF(B7&lt;&gt;"",ROUND(C7/B7,2),""))</f>
        <v>0</v>
      </c>
      <c r="E7" s="16"/>
    </row>
    <row r="8" spans="1:5" ht="14.4" thickBot="1" x14ac:dyDescent="0.35">
      <c r="A8" s="24"/>
      <c r="B8" s="107"/>
      <c r="C8" s="107"/>
      <c r="D8" s="18"/>
      <c r="E8" s="16"/>
    </row>
    <row r="9" spans="1:5" ht="13.8" x14ac:dyDescent="0.3">
      <c r="A9" s="16"/>
      <c r="B9" s="16"/>
      <c r="C9" s="16"/>
      <c r="D9" s="16"/>
      <c r="E9" s="16"/>
    </row>
    <row r="10" spans="1:5" ht="13.8" x14ac:dyDescent="0.3">
      <c r="A10" s="16"/>
      <c r="B10" s="16"/>
      <c r="C10" s="16"/>
      <c r="D10" s="16"/>
      <c r="E10" s="16"/>
    </row>
    <row r="11" spans="1:5" ht="13.8" x14ac:dyDescent="0.3">
      <c r="A11" s="16"/>
      <c r="B11" s="16"/>
      <c r="C11" s="16"/>
      <c r="D11" s="16"/>
      <c r="E11" s="16"/>
    </row>
  </sheetData>
  <phoneticPr fontId="3" type="noConversion"/>
  <pageMargins left="0.74803149606299213" right="0.74803149606299213" top="0.98425196850393704" bottom="0.98425196850393704" header="0.51181102362204722" footer="0.51181102362204722"/>
  <pageSetup paperSize="9" scale="74" orientation="portrait" r:id="rId1"/>
  <headerFooter alignWithMargins="0">
    <oddHeader>&amp;C&amp;"Arial,Bold"&amp;12Use this sheet to establish your PA Shareholdings at 6 April 2008</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172"/>
  <sheetViews>
    <sheetView zoomScale="90" zoomScaleNormal="90" workbookViewId="0"/>
  </sheetViews>
  <sheetFormatPr defaultRowHeight="13.2" x14ac:dyDescent="0.25"/>
  <cols>
    <col min="1" max="1" width="11.33203125" customWidth="1"/>
    <col min="2" max="2" width="31.5546875" style="2" customWidth="1"/>
    <col min="3" max="3" width="25" customWidth="1"/>
    <col min="4" max="4" width="9.88671875" customWidth="1"/>
    <col min="5" max="5" width="10.33203125" customWidth="1"/>
    <col min="6" max="6" width="24.109375" bestFit="1" customWidth="1"/>
    <col min="7" max="7" width="22.33203125" bestFit="1" customWidth="1"/>
    <col min="8" max="8" width="15.6640625" customWidth="1"/>
    <col min="9" max="10" width="10.6640625" customWidth="1"/>
    <col min="11" max="11" width="15.6640625" style="5" customWidth="1"/>
    <col min="12" max="13" width="15.6640625" customWidth="1"/>
    <col min="14" max="14" width="3.33203125" customWidth="1"/>
    <col min="15" max="15" width="14" customWidth="1"/>
    <col min="16" max="16" width="15.5546875" customWidth="1"/>
    <col min="17" max="17" width="13.44140625" style="13" customWidth="1"/>
    <col min="18" max="19" width="14.88671875" customWidth="1"/>
    <col min="20" max="20" width="42.88671875" customWidth="1"/>
    <col min="21" max="21" width="9.109375" hidden="1" customWidth="1"/>
    <col min="22" max="23" width="10.109375" hidden="1" customWidth="1"/>
    <col min="24" max="24" width="9.109375" hidden="1" customWidth="1"/>
    <col min="25" max="28" width="9.109375" customWidth="1"/>
  </cols>
  <sheetData>
    <row r="1" spans="1:25" ht="21" x14ac:dyDescent="0.4">
      <c r="A1" s="101" t="s">
        <v>16</v>
      </c>
      <c r="B1" s="108"/>
      <c r="C1" s="25"/>
      <c r="D1" s="25"/>
      <c r="E1" s="25"/>
      <c r="F1" s="25"/>
      <c r="G1" s="25"/>
      <c r="H1" s="25"/>
      <c r="I1" s="25"/>
      <c r="J1" s="25"/>
      <c r="K1" s="109"/>
      <c r="L1" s="25"/>
      <c r="M1" s="25"/>
      <c r="N1" s="25"/>
      <c r="O1" s="25"/>
      <c r="P1" s="25"/>
      <c r="Q1" s="110"/>
      <c r="R1" s="25"/>
      <c r="S1" s="25"/>
      <c r="T1" s="25"/>
      <c r="U1" s="25"/>
      <c r="V1" s="25"/>
      <c r="W1" s="25"/>
      <c r="X1" s="25"/>
      <c r="Y1" s="25"/>
    </row>
    <row r="2" spans="1:25" ht="21" x14ac:dyDescent="0.4">
      <c r="A2" s="467" t="s">
        <v>350</v>
      </c>
      <c r="B2" s="486"/>
      <c r="C2" s="467"/>
      <c r="D2" s="467"/>
      <c r="E2" s="467"/>
      <c r="F2" s="467"/>
      <c r="G2" s="467"/>
      <c r="H2" s="467"/>
      <c r="I2" s="25"/>
      <c r="J2" s="25"/>
      <c r="K2" s="109"/>
      <c r="L2" s="25"/>
      <c r="M2" s="25"/>
      <c r="N2" s="25"/>
      <c r="O2" s="25"/>
      <c r="P2" s="25"/>
      <c r="Q2" s="110"/>
      <c r="R2" s="25"/>
      <c r="S2" s="25"/>
      <c r="T2" s="25"/>
      <c r="U2" s="25"/>
      <c r="V2" s="25"/>
      <c r="W2" s="25"/>
      <c r="X2" s="25"/>
      <c r="Y2" s="25"/>
    </row>
    <row r="3" spans="1:25" ht="15.6" x14ac:dyDescent="0.3">
      <c r="A3" s="25" t="s">
        <v>107</v>
      </c>
      <c r="B3" s="108"/>
      <c r="C3" s="25"/>
      <c r="D3" s="25"/>
      <c r="E3" s="25"/>
      <c r="F3" s="25"/>
      <c r="G3" s="25"/>
      <c r="H3" s="25"/>
      <c r="I3" s="25"/>
      <c r="J3" s="25"/>
      <c r="K3" s="109"/>
      <c r="L3" s="25"/>
      <c r="M3" s="25"/>
      <c r="N3" s="25"/>
      <c r="O3" s="25"/>
      <c r="P3" s="25"/>
      <c r="Q3" s="110"/>
      <c r="R3" s="25"/>
      <c r="S3" s="25"/>
      <c r="T3" s="25"/>
      <c r="U3" s="25"/>
      <c r="V3" s="25"/>
      <c r="W3" s="25"/>
      <c r="X3" s="25"/>
      <c r="Y3" s="25"/>
    </row>
    <row r="4" spans="1:25" ht="16.2" thickBot="1" x14ac:dyDescent="0.35">
      <c r="A4" s="25"/>
      <c r="B4" s="21"/>
      <c r="C4" s="108"/>
      <c r="D4" s="25"/>
      <c r="E4" s="25"/>
      <c r="F4" s="25"/>
      <c r="G4" s="25"/>
      <c r="H4" s="25"/>
      <c r="I4" s="25"/>
      <c r="J4" s="25"/>
      <c r="K4" s="109"/>
      <c r="L4" s="25"/>
      <c r="M4" s="25"/>
      <c r="N4" s="25"/>
      <c r="O4" s="25"/>
      <c r="P4" s="25"/>
      <c r="Q4" s="110"/>
      <c r="R4" s="25"/>
      <c r="S4" s="25"/>
      <c r="T4" s="25"/>
      <c r="U4" s="25"/>
      <c r="V4" s="25"/>
      <c r="W4" s="25"/>
      <c r="X4" s="25"/>
      <c r="Y4" s="25"/>
    </row>
    <row r="5" spans="1:25" ht="18.75" customHeight="1" x14ac:dyDescent="0.3">
      <c r="A5" s="196" t="s">
        <v>62</v>
      </c>
      <c r="B5" s="197"/>
      <c r="C5" s="198"/>
      <c r="D5" s="199"/>
      <c r="E5" s="200" t="s">
        <v>17</v>
      </c>
      <c r="F5" s="201"/>
      <c r="G5" s="202"/>
      <c r="H5" s="203"/>
      <c r="I5" s="199"/>
      <c r="J5" s="201" t="s">
        <v>18</v>
      </c>
      <c r="K5" s="204"/>
      <c r="L5" s="202"/>
      <c r="M5" s="203"/>
      <c r="N5" s="111"/>
      <c r="O5" s="211" t="s">
        <v>31</v>
      </c>
      <c r="P5" s="212" t="s">
        <v>32</v>
      </c>
      <c r="Q5" s="110"/>
      <c r="R5" s="25"/>
      <c r="S5" s="25"/>
      <c r="T5" s="25"/>
      <c r="U5" s="25"/>
      <c r="V5" s="25"/>
      <c r="W5" s="25"/>
      <c r="X5" s="25"/>
      <c r="Y5" s="25"/>
    </row>
    <row r="6" spans="1:25" ht="30.75" customHeight="1" thickBot="1" x14ac:dyDescent="0.35">
      <c r="A6" s="205" t="s">
        <v>32</v>
      </c>
      <c r="B6" s="206" t="s">
        <v>122</v>
      </c>
      <c r="C6" s="207" t="s">
        <v>116</v>
      </c>
      <c r="D6" s="208" t="s">
        <v>61</v>
      </c>
      <c r="E6" s="209" t="s">
        <v>123</v>
      </c>
      <c r="F6" s="209" t="s">
        <v>25</v>
      </c>
      <c r="G6" s="209" t="s">
        <v>108</v>
      </c>
      <c r="H6" s="210" t="s">
        <v>109</v>
      </c>
      <c r="I6" s="208" t="s">
        <v>61</v>
      </c>
      <c r="J6" s="209" t="s">
        <v>123</v>
      </c>
      <c r="K6" s="209" t="s">
        <v>25</v>
      </c>
      <c r="L6" s="209" t="s">
        <v>108</v>
      </c>
      <c r="M6" s="210" t="s">
        <v>109</v>
      </c>
      <c r="N6" s="112"/>
      <c r="O6" s="213" t="s">
        <v>34</v>
      </c>
      <c r="P6" s="214" t="s">
        <v>33</v>
      </c>
      <c r="Q6" s="110"/>
      <c r="R6" s="25"/>
      <c r="S6" s="25"/>
      <c r="T6" s="25"/>
      <c r="U6" s="25"/>
      <c r="V6" s="25"/>
      <c r="W6" s="25"/>
      <c r="X6" s="25"/>
      <c r="Y6" s="25"/>
    </row>
    <row r="7" spans="1:25" ht="15.6" x14ac:dyDescent="0.3">
      <c r="A7" s="113"/>
      <c r="B7" s="114" t="s">
        <v>15</v>
      </c>
      <c r="C7" s="115">
        <v>39544</v>
      </c>
      <c r="D7" s="116">
        <f>IF(G7&lt;&gt;0,ROUND(H7/G7,2),0)</f>
        <v>0</v>
      </c>
      <c r="E7" s="117"/>
      <c r="F7" s="117"/>
      <c r="G7" s="118">
        <f>'PA Share History'!B6</f>
        <v>0</v>
      </c>
      <c r="H7" s="119">
        <f>'PA Share History'!C6</f>
        <v>0</v>
      </c>
      <c r="I7" s="120">
        <f>IF(L7&lt;&gt;0,ROUND(M7/L7,2),0)</f>
        <v>0</v>
      </c>
      <c r="J7" s="121"/>
      <c r="K7" s="122"/>
      <c r="L7" s="118">
        <f>'PA Share History'!B7</f>
        <v>0</v>
      </c>
      <c r="M7" s="119">
        <f>'PA Share History'!C7</f>
        <v>0</v>
      </c>
      <c r="N7" s="112"/>
      <c r="O7" s="123"/>
      <c r="P7" s="124"/>
      <c r="Q7" s="110"/>
      <c r="R7" s="25"/>
      <c r="S7" s="25"/>
      <c r="T7" s="25"/>
      <c r="U7" s="25"/>
      <c r="V7" s="25"/>
      <c r="W7" s="25"/>
      <c r="X7" s="25"/>
      <c r="Y7" s="25"/>
    </row>
    <row r="8" spans="1:25" ht="31.2" x14ac:dyDescent="0.3">
      <c r="A8" s="113"/>
      <c r="B8" s="114" t="s">
        <v>19</v>
      </c>
      <c r="C8" s="125"/>
      <c r="D8" s="116">
        <f>D7</f>
        <v>0</v>
      </c>
      <c r="E8" s="117">
        <v>7.27</v>
      </c>
      <c r="F8" s="126"/>
      <c r="G8" s="122">
        <f>F8+G7</f>
        <v>0</v>
      </c>
      <c r="H8" s="127">
        <f>IF(F8&lt;&gt;0,H7+(D8*F8),H7)</f>
        <v>0</v>
      </c>
      <c r="I8" s="128"/>
      <c r="J8" s="112"/>
      <c r="K8" s="122"/>
      <c r="L8" s="122"/>
      <c r="M8" s="129"/>
      <c r="N8" s="112"/>
      <c r="O8" s="120">
        <f>-F8*E8</f>
        <v>0</v>
      </c>
      <c r="P8" s="130">
        <f>-F8*(E8-D7)</f>
        <v>0</v>
      </c>
      <c r="Q8" s="110"/>
      <c r="R8" s="25"/>
      <c r="S8" s="25"/>
      <c r="T8" s="25"/>
      <c r="U8" s="25"/>
      <c r="V8" s="131">
        <v>7.27</v>
      </c>
      <c r="W8" s="131">
        <v>7.31</v>
      </c>
      <c r="X8" s="25"/>
      <c r="Y8" s="25"/>
    </row>
    <row r="9" spans="1:25" ht="31.2" x14ac:dyDescent="0.3">
      <c r="A9" s="113"/>
      <c r="B9" s="114" t="s">
        <v>26</v>
      </c>
      <c r="C9" s="115">
        <v>39619</v>
      </c>
      <c r="D9" s="116">
        <f>IF(G9&lt;&gt;0,ROUND(H9/G9,2),0)</f>
        <v>0</v>
      </c>
      <c r="E9" s="132">
        <v>4.32</v>
      </c>
      <c r="F9" s="126"/>
      <c r="G9" s="122">
        <f>F9+G8</f>
        <v>0</v>
      </c>
      <c r="H9" s="127">
        <f>IF(F9&lt;&gt;0,H8+(E9*F9),H8)</f>
        <v>0</v>
      </c>
      <c r="I9" s="128"/>
      <c r="J9" s="112"/>
      <c r="K9" s="122"/>
      <c r="L9" s="122"/>
      <c r="M9" s="129"/>
      <c r="N9" s="112"/>
      <c r="O9" s="120"/>
      <c r="P9" s="130"/>
      <c r="Q9" s="110"/>
      <c r="R9" s="25"/>
      <c r="S9" s="25"/>
      <c r="T9" s="25"/>
      <c r="U9" s="25"/>
      <c r="V9" s="131">
        <v>4.32</v>
      </c>
      <c r="W9" s="131">
        <v>4.3</v>
      </c>
      <c r="X9" s="25"/>
      <c r="Y9" s="25"/>
    </row>
    <row r="10" spans="1:25" ht="31.8" thickBot="1" x14ac:dyDescent="0.35">
      <c r="A10" s="113"/>
      <c r="B10" s="114" t="s">
        <v>105</v>
      </c>
      <c r="C10" s="115">
        <v>39619</v>
      </c>
      <c r="D10" s="116">
        <f>IF(G10&lt;&gt;0,ROUND(H10/G10,2),0)</f>
        <v>0</v>
      </c>
      <c r="E10" s="132">
        <v>7.31</v>
      </c>
      <c r="F10" s="126"/>
      <c r="G10" s="122">
        <f>F10+G9</f>
        <v>0</v>
      </c>
      <c r="H10" s="127">
        <f>IF(F10&lt;&gt;0,H9+(E10*F10),H9)</f>
        <v>0</v>
      </c>
      <c r="I10" s="128"/>
      <c r="J10" s="112"/>
      <c r="K10" s="122"/>
      <c r="L10" s="122"/>
      <c r="M10" s="129"/>
      <c r="N10" s="112"/>
      <c r="O10" s="120"/>
      <c r="P10" s="130"/>
      <c r="Q10" s="110"/>
      <c r="R10" s="25"/>
      <c r="S10" s="25"/>
      <c r="T10" s="25"/>
      <c r="U10" s="25"/>
      <c r="V10" s="131">
        <v>7.31</v>
      </c>
      <c r="W10" s="131">
        <v>7.27</v>
      </c>
      <c r="X10" s="25"/>
      <c r="Y10" s="25"/>
    </row>
    <row r="11" spans="1:25" ht="31.2" x14ac:dyDescent="0.3">
      <c r="A11" s="113"/>
      <c r="B11" s="114" t="s">
        <v>106</v>
      </c>
      <c r="C11" s="115">
        <v>39619</v>
      </c>
      <c r="D11" s="116">
        <f>IF(G11&lt;&gt;0,ROUND(H11/G11,2),0)</f>
        <v>0</v>
      </c>
      <c r="E11" s="132">
        <v>7.31</v>
      </c>
      <c r="F11" s="126"/>
      <c r="G11" s="122">
        <f>F11+G10</f>
        <v>0</v>
      </c>
      <c r="H11" s="127">
        <f>IF(F11&lt;&gt;0,H10+(E11*F11),H10)</f>
        <v>0</v>
      </c>
      <c r="I11" s="128"/>
      <c r="J11" s="112"/>
      <c r="K11" s="122"/>
      <c r="L11" s="122"/>
      <c r="M11" s="129"/>
      <c r="N11" s="112"/>
      <c r="O11" s="120"/>
      <c r="P11" s="130"/>
      <c r="Q11" s="110"/>
      <c r="R11" s="199" t="s">
        <v>241</v>
      </c>
      <c r="S11" s="202"/>
      <c r="T11" s="203"/>
      <c r="U11" s="25"/>
      <c r="V11" s="131">
        <v>7.31</v>
      </c>
      <c r="W11" s="131">
        <v>7.27</v>
      </c>
      <c r="X11" s="25"/>
      <c r="Y11" s="25"/>
    </row>
    <row r="12" spans="1:25" ht="15.6" x14ac:dyDescent="0.3">
      <c r="A12" s="113"/>
      <c r="B12" s="114"/>
      <c r="C12" s="133"/>
      <c r="D12" s="128"/>
      <c r="E12" s="112"/>
      <c r="F12" s="112"/>
      <c r="G12" s="122"/>
      <c r="H12" s="129"/>
      <c r="I12" s="128"/>
      <c r="J12" s="112"/>
      <c r="K12" s="122"/>
      <c r="L12" s="122"/>
      <c r="M12" s="129"/>
      <c r="N12" s="112"/>
      <c r="O12" s="120"/>
      <c r="P12" s="130"/>
      <c r="Q12" s="110"/>
      <c r="R12" s="215" t="s">
        <v>237</v>
      </c>
      <c r="S12" s="216" t="s">
        <v>238</v>
      </c>
      <c r="T12" s="217" t="s">
        <v>236</v>
      </c>
      <c r="U12" s="25"/>
      <c r="V12" s="131"/>
      <c r="W12" s="131"/>
      <c r="X12" s="25"/>
      <c r="Y12" s="25"/>
    </row>
    <row r="13" spans="1:25" ht="15.6" x14ac:dyDescent="0.3">
      <c r="A13" s="134"/>
      <c r="B13" s="135" t="s">
        <v>21</v>
      </c>
      <c r="C13" s="136">
        <v>39623</v>
      </c>
      <c r="D13" s="137">
        <f>IF(G13&lt;&gt;0,ROUND(H13/G13,2),0)</f>
        <v>0</v>
      </c>
      <c r="E13" s="138"/>
      <c r="F13" s="138"/>
      <c r="G13" s="139">
        <f>G11</f>
        <v>0</v>
      </c>
      <c r="H13" s="140">
        <f>H11</f>
        <v>0</v>
      </c>
      <c r="I13" s="137">
        <f>IF(L13&lt;&gt;0,ROUND(M13/L13,2),0)</f>
        <v>0</v>
      </c>
      <c r="J13" s="138"/>
      <c r="K13" s="139"/>
      <c r="L13" s="139">
        <f>L7</f>
        <v>0</v>
      </c>
      <c r="M13" s="140">
        <f>M7</f>
        <v>0</v>
      </c>
      <c r="N13" s="112"/>
      <c r="O13" s="120"/>
      <c r="P13" s="130"/>
      <c r="Q13" s="110"/>
      <c r="R13" s="218">
        <f>G13</f>
        <v>0</v>
      </c>
      <c r="S13" s="219">
        <f>H13-H14</f>
        <v>0</v>
      </c>
      <c r="T13" s="220" t="s">
        <v>234</v>
      </c>
      <c r="U13" s="25"/>
      <c r="V13" s="131"/>
      <c r="W13" s="131"/>
      <c r="X13" s="25"/>
      <c r="Y13" s="25"/>
    </row>
    <row r="14" spans="1:25" ht="15.6" x14ac:dyDescent="0.3">
      <c r="A14" s="113"/>
      <c r="B14" s="114" t="s">
        <v>7</v>
      </c>
      <c r="C14" s="141" t="str">
        <f>IF('Instruction &amp; apportionment'!C17&gt;0,"Per your entry","Calculated when known")</f>
        <v>Calculated when known</v>
      </c>
      <c r="D14" s="120">
        <f>IF(G14&lt;&gt;0,ROUND(H14/G14,2),0)</f>
        <v>0</v>
      </c>
      <c r="E14" s="121"/>
      <c r="F14" s="121"/>
      <c r="G14" s="122">
        <f>G13</f>
        <v>0</v>
      </c>
      <c r="H14" s="127">
        <f>IF('Instruction &amp; apportionment'!C17&gt;0,'s104 holdings'!H13*'Instruction &amp; apportionment'!C17/'Instruction &amp; apportionment'!C18,'s104 holdings'!H13)</f>
        <v>0</v>
      </c>
      <c r="I14" s="120">
        <f>IF(L14&lt;&gt;0,ROUND(M14/L14,2),0)</f>
        <v>0</v>
      </c>
      <c r="J14" s="121"/>
      <c r="K14" s="122"/>
      <c r="L14" s="122">
        <f>L13</f>
        <v>0</v>
      </c>
      <c r="M14" s="127">
        <f>IF('Instruction &amp; apportionment'!C17&gt;0,'Instruction &amp; apportionment'!C17/'Instruction &amp; apportionment'!C18*'s104 holdings'!M13,'s104 holdings'!M13)</f>
        <v>0</v>
      </c>
      <c r="N14" s="112"/>
      <c r="O14" s="120"/>
      <c r="P14" s="130"/>
      <c r="Q14" s="110"/>
      <c r="R14" s="221">
        <f>L13</f>
        <v>0</v>
      </c>
      <c r="S14" s="222">
        <f>M13-M14</f>
        <v>0</v>
      </c>
      <c r="T14" s="220" t="s">
        <v>235</v>
      </c>
      <c r="U14" s="25"/>
      <c r="V14" s="131"/>
      <c r="W14" s="131"/>
      <c r="X14" s="25"/>
      <c r="Y14" s="25"/>
    </row>
    <row r="15" spans="1:25" ht="15.6" x14ac:dyDescent="0.3">
      <c r="A15" s="113"/>
      <c r="B15" s="142" t="s">
        <v>99</v>
      </c>
      <c r="C15" s="115">
        <v>39696</v>
      </c>
      <c r="D15" s="116">
        <f>D14</f>
        <v>0</v>
      </c>
      <c r="E15" s="121">
        <f>D14</f>
        <v>0</v>
      </c>
      <c r="F15" s="126"/>
      <c r="G15" s="122">
        <f>F15+G14</f>
        <v>0</v>
      </c>
      <c r="H15" s="127">
        <f>IF(F15&lt;&gt;0,H14+(E15*F15),H14)</f>
        <v>0</v>
      </c>
      <c r="I15" s="120"/>
      <c r="J15" s="121"/>
      <c r="K15" s="122"/>
      <c r="L15" s="122"/>
      <c r="M15" s="127"/>
      <c r="N15" s="112"/>
      <c r="O15" s="120">
        <f>IF(B15="Transfer to spouse (no CGT)",0,-F15*E15)</f>
        <v>0</v>
      </c>
      <c r="P15" s="130">
        <f>IF(B15="Transfer to spouse (no CGT)",0,-F15*(E15-D14))</f>
        <v>0</v>
      </c>
      <c r="Q15" s="110"/>
      <c r="R15" s="218">
        <f>SUM(R13:R14)</f>
        <v>0</v>
      </c>
      <c r="S15" s="219">
        <f>SUM(S13:S14)</f>
        <v>0</v>
      </c>
      <c r="T15" s="220" t="s">
        <v>239</v>
      </c>
      <c r="U15" s="25"/>
      <c r="V15" s="131"/>
      <c r="W15" s="131"/>
      <c r="X15" s="25"/>
      <c r="Y15" s="25"/>
    </row>
    <row r="16" spans="1:25" ht="15.6" x14ac:dyDescent="0.3">
      <c r="A16" s="113"/>
      <c r="B16" s="114" t="s">
        <v>22</v>
      </c>
      <c r="C16" s="115">
        <v>39706</v>
      </c>
      <c r="D16" s="120" t="str">
        <f>IF(G16&lt;&gt;0,ROUND(H16/G16,2),"")</f>
        <v/>
      </c>
      <c r="E16" s="121"/>
      <c r="F16" s="121"/>
      <c r="G16" s="122"/>
      <c r="H16" s="129"/>
      <c r="I16" s="120">
        <f>IF(L16&lt;&gt;0,ROUND(M16/L16,2),0)</f>
        <v>0</v>
      </c>
      <c r="J16" s="132">
        <v>5.52</v>
      </c>
      <c r="K16" s="126"/>
      <c r="L16" s="122">
        <f>K16+L14</f>
        <v>0</v>
      </c>
      <c r="M16" s="127">
        <f>IF(K16&gt;0,M14+(J16*K16),M14)</f>
        <v>0</v>
      </c>
      <c r="N16" s="121"/>
      <c r="O16" s="120"/>
      <c r="P16" s="130"/>
      <c r="Q16" s="110"/>
      <c r="R16" s="223"/>
      <c r="S16" s="224" t="e">
        <f>ROUND(S15/R15,5)</f>
        <v>#DIV/0!</v>
      </c>
      <c r="T16" s="220" t="s">
        <v>240</v>
      </c>
      <c r="U16" s="25"/>
      <c r="V16" s="131"/>
      <c r="W16" s="131"/>
      <c r="X16" s="25"/>
      <c r="Y16" s="25"/>
    </row>
    <row r="17" spans="1:25" ht="31.8" thickBot="1" x14ac:dyDescent="0.35">
      <c r="A17" s="113"/>
      <c r="B17" s="114" t="s">
        <v>23</v>
      </c>
      <c r="C17" s="115">
        <v>39729</v>
      </c>
      <c r="D17" s="116">
        <f>IF(G17&lt;&gt;0,ROUND(H17/G17,2),0)</f>
        <v>0</v>
      </c>
      <c r="E17" s="132">
        <v>5.52</v>
      </c>
      <c r="F17" s="126"/>
      <c r="G17" s="122">
        <f>F17+G15</f>
        <v>0</v>
      </c>
      <c r="H17" s="127">
        <f>IF(F17&lt;&gt;0,H15+(E17*F17),H15)</f>
        <v>0</v>
      </c>
      <c r="I17" s="128"/>
      <c r="J17" s="112"/>
      <c r="K17" s="122"/>
      <c r="L17" s="122"/>
      <c r="M17" s="129"/>
      <c r="N17" s="112"/>
      <c r="O17" s="120"/>
      <c r="P17" s="130"/>
      <c r="Q17" s="110"/>
      <c r="R17" s="225"/>
      <c r="S17" s="226"/>
      <c r="T17" s="227"/>
      <c r="U17" s="25"/>
      <c r="V17" s="131">
        <v>5.52</v>
      </c>
      <c r="W17" s="131">
        <v>5.5</v>
      </c>
      <c r="X17" s="25"/>
      <c r="Y17" s="25"/>
    </row>
    <row r="18" spans="1:25" ht="31.2" x14ac:dyDescent="0.3">
      <c r="A18" s="113"/>
      <c r="B18" s="114" t="s">
        <v>27</v>
      </c>
      <c r="C18" s="115">
        <v>39729</v>
      </c>
      <c r="D18" s="116">
        <f>IF(G18&lt;&gt;0,ROUND(H18/G18,2),0)</f>
        <v>0</v>
      </c>
      <c r="E18" s="132">
        <v>5.52</v>
      </c>
      <c r="F18" s="126"/>
      <c r="G18" s="122">
        <f>F18+G17</f>
        <v>0</v>
      </c>
      <c r="H18" s="127">
        <f t="shared" ref="H18:H24" si="0">IF(F18&lt;&gt;0,H17+(E18*F18),H17)</f>
        <v>0</v>
      </c>
      <c r="I18" s="128"/>
      <c r="J18" s="112"/>
      <c r="K18" s="122"/>
      <c r="L18" s="122"/>
      <c r="M18" s="129"/>
      <c r="N18" s="112"/>
      <c r="O18" s="120"/>
      <c r="P18" s="130"/>
      <c r="Q18" s="110"/>
      <c r="R18" s="655" t="s">
        <v>370</v>
      </c>
      <c r="S18" s="656"/>
      <c r="T18" s="657"/>
      <c r="U18" s="25"/>
      <c r="V18" s="131">
        <v>5.52</v>
      </c>
      <c r="W18" s="131">
        <v>5.5</v>
      </c>
      <c r="X18" s="25"/>
      <c r="Y18" s="25"/>
    </row>
    <row r="19" spans="1:25" ht="15.6" x14ac:dyDescent="0.3">
      <c r="A19" s="113"/>
      <c r="B19" s="114" t="s">
        <v>24</v>
      </c>
      <c r="C19" s="115">
        <v>39729</v>
      </c>
      <c r="D19" s="116">
        <f>D18</f>
        <v>0</v>
      </c>
      <c r="E19" s="121">
        <v>5.5</v>
      </c>
      <c r="F19" s="126"/>
      <c r="G19" s="122">
        <f>F19+G18</f>
        <v>0</v>
      </c>
      <c r="H19" s="127">
        <f>IF(F19&lt;&gt;0,H18+(D19*F19),H18)</f>
        <v>0</v>
      </c>
      <c r="I19" s="128"/>
      <c r="J19" s="112"/>
      <c r="K19" s="122"/>
      <c r="L19" s="122"/>
      <c r="M19" s="129"/>
      <c r="N19" s="112"/>
      <c r="O19" s="120">
        <f>-F19*E19</f>
        <v>0</v>
      </c>
      <c r="P19" s="130">
        <f>-F19*(E19-D18)</f>
        <v>0</v>
      </c>
      <c r="Q19" s="110"/>
      <c r="R19" s="658"/>
      <c r="S19" s="659"/>
      <c r="T19" s="660"/>
      <c r="U19" s="25"/>
      <c r="V19" s="131"/>
      <c r="W19" s="131"/>
      <c r="X19" s="25"/>
      <c r="Y19" s="25"/>
    </row>
    <row r="20" spans="1:25" ht="47.25" customHeight="1" thickBot="1" x14ac:dyDescent="0.35">
      <c r="A20" s="113"/>
      <c r="B20" s="114" t="s">
        <v>28</v>
      </c>
      <c r="C20" s="115">
        <v>39873</v>
      </c>
      <c r="D20" s="116">
        <f>IF(G20&lt;&gt;0,ROUND(H20/G20,2),0)</f>
        <v>0</v>
      </c>
      <c r="E20" s="121" t="str">
        <f>IF(K20&lt;0,J20,"")</f>
        <v/>
      </c>
      <c r="F20" s="143" t="str">
        <f>IF(K20&lt;0,-K20,"")</f>
        <v/>
      </c>
      <c r="G20" s="122">
        <f>IF(F20="",G19,F20+G19)</f>
        <v>0</v>
      </c>
      <c r="H20" s="127">
        <f>IF(F20="",H19,H19+(E20*F20))</f>
        <v>0</v>
      </c>
      <c r="I20" s="120">
        <f>IF(L20&lt;&gt;0,ROUND(M20/L20,2),0)</f>
        <v>0</v>
      </c>
      <c r="J20" s="121">
        <f>I16</f>
        <v>0</v>
      </c>
      <c r="K20" s="126"/>
      <c r="L20" s="122">
        <f>K20+L16</f>
        <v>0</v>
      </c>
      <c r="M20" s="127">
        <f>IF(K20&lt;&gt;0,M16+(J20*K20),M16)</f>
        <v>0</v>
      </c>
      <c r="N20" s="112"/>
      <c r="O20" s="120"/>
      <c r="P20" s="130"/>
      <c r="Q20" s="110"/>
      <c r="R20" s="661"/>
      <c r="S20" s="662"/>
      <c r="T20" s="663"/>
      <c r="U20" s="25"/>
      <c r="V20" s="131"/>
      <c r="W20" s="131"/>
      <c r="X20" s="25"/>
      <c r="Y20" s="25"/>
    </row>
    <row r="21" spans="1:25" ht="15.6" x14ac:dyDescent="0.3">
      <c r="A21" s="113"/>
      <c r="B21" s="142" t="s">
        <v>99</v>
      </c>
      <c r="C21" s="115">
        <v>39878</v>
      </c>
      <c r="D21" s="116">
        <f>D20</f>
        <v>0</v>
      </c>
      <c r="E21" s="121">
        <f>D20</f>
        <v>0</v>
      </c>
      <c r="F21" s="126"/>
      <c r="G21" s="122">
        <f>F21+G20</f>
        <v>0</v>
      </c>
      <c r="H21" s="127">
        <f>IF(F21&lt;&gt;0,H20+(D21*F21),H20)</f>
        <v>0</v>
      </c>
      <c r="I21" s="120"/>
      <c r="J21" s="121"/>
      <c r="K21" s="122"/>
      <c r="L21" s="122"/>
      <c r="M21" s="127"/>
      <c r="N21" s="112"/>
      <c r="O21" s="120">
        <f>IF(B21="Transfer to spouse (no CGT)",0,-F21*E21)</f>
        <v>0</v>
      </c>
      <c r="P21" s="130">
        <f>IF(B21="Transfer to spouse (no CGT)",0,-F21*(E21-D20))</f>
        <v>0</v>
      </c>
      <c r="Q21" s="110"/>
      <c r="R21" s="25"/>
      <c r="S21" s="25"/>
      <c r="T21" s="25"/>
      <c r="U21" s="25"/>
      <c r="V21" s="131"/>
      <c r="W21" s="131"/>
      <c r="X21" s="25"/>
      <c r="Y21" s="25"/>
    </row>
    <row r="22" spans="1:25" ht="15.6" x14ac:dyDescent="0.3">
      <c r="A22" s="113"/>
      <c r="B22" s="114" t="s">
        <v>24</v>
      </c>
      <c r="C22" s="115">
        <v>39905</v>
      </c>
      <c r="D22" s="116">
        <f>D21</f>
        <v>0</v>
      </c>
      <c r="E22" s="121">
        <v>6.88</v>
      </c>
      <c r="F22" s="126"/>
      <c r="G22" s="122">
        <f>F22+G21</f>
        <v>0</v>
      </c>
      <c r="H22" s="127">
        <f>IF(F22&lt;&gt;0,H21+(D22*F22),H21)</f>
        <v>0</v>
      </c>
      <c r="I22" s="128"/>
      <c r="J22" s="112"/>
      <c r="K22" s="122"/>
      <c r="L22" s="122"/>
      <c r="M22" s="129"/>
      <c r="N22" s="112"/>
      <c r="O22" s="120">
        <f>-F22*E22</f>
        <v>0</v>
      </c>
      <c r="P22" s="130">
        <f>-F22*(E22-D21)</f>
        <v>0</v>
      </c>
      <c r="Q22" s="110"/>
      <c r="R22" s="25"/>
      <c r="S22" s="25"/>
      <c r="T22" s="25"/>
      <c r="U22" s="25"/>
      <c r="V22" s="131">
        <v>6.91</v>
      </c>
      <c r="W22" s="131">
        <v>6.88</v>
      </c>
      <c r="X22" s="25"/>
      <c r="Y22" s="25"/>
    </row>
    <row r="23" spans="1:25" ht="31.2" x14ac:dyDescent="0.3">
      <c r="A23" s="113"/>
      <c r="B23" s="114" t="s">
        <v>26</v>
      </c>
      <c r="C23" s="115">
        <v>39905</v>
      </c>
      <c r="D23" s="116">
        <f>IF(G23&lt;&gt;0,ROUND(H23/G23,2),0)</f>
        <v>0</v>
      </c>
      <c r="E23" s="132">
        <v>6.91</v>
      </c>
      <c r="F23" s="126"/>
      <c r="G23" s="122">
        <f>F23+G22</f>
        <v>0</v>
      </c>
      <c r="H23" s="127">
        <f t="shared" si="0"/>
        <v>0</v>
      </c>
      <c r="I23" s="128"/>
      <c r="J23" s="112"/>
      <c r="K23" s="122"/>
      <c r="L23" s="122"/>
      <c r="M23" s="129"/>
      <c r="N23" s="112"/>
      <c r="O23" s="120"/>
      <c r="P23" s="130"/>
      <c r="Q23" s="110"/>
      <c r="R23" s="25"/>
      <c r="S23" s="25"/>
      <c r="T23" s="25"/>
      <c r="U23" s="25"/>
      <c r="V23" s="131">
        <v>6.91</v>
      </c>
      <c r="W23" s="131">
        <v>6.88</v>
      </c>
      <c r="X23" s="25"/>
      <c r="Y23" s="25"/>
    </row>
    <row r="24" spans="1:25" ht="16.2" thickBot="1" x14ac:dyDescent="0.35">
      <c r="A24" s="144"/>
      <c r="B24" s="145" t="s">
        <v>30</v>
      </c>
      <c r="C24" s="146">
        <v>39905</v>
      </c>
      <c r="D24" s="116">
        <f>IF(G24&lt;&gt;0,ROUND(H24/G24,2),0)</f>
        <v>0</v>
      </c>
      <c r="E24" s="132">
        <v>6.91</v>
      </c>
      <c r="F24" s="126"/>
      <c r="G24" s="122">
        <f>F24+G23</f>
        <v>0</v>
      </c>
      <c r="H24" s="127">
        <f t="shared" si="0"/>
        <v>0</v>
      </c>
      <c r="I24" s="147"/>
      <c r="J24" s="148"/>
      <c r="K24" s="149"/>
      <c r="L24" s="148"/>
      <c r="M24" s="150"/>
      <c r="N24" s="148"/>
      <c r="O24" s="151"/>
      <c r="P24" s="152"/>
      <c r="Q24" s="110"/>
      <c r="R24" s="25"/>
      <c r="S24" s="25"/>
      <c r="T24" s="25"/>
      <c r="U24" s="25"/>
      <c r="V24" s="131">
        <v>6.91</v>
      </c>
      <c r="W24" s="131">
        <v>6.88</v>
      </c>
      <c r="X24" s="25"/>
      <c r="Y24" s="25"/>
    </row>
    <row r="25" spans="1:25" ht="15.6" x14ac:dyDescent="0.3">
      <c r="A25" s="153" t="s">
        <v>58</v>
      </c>
      <c r="B25" s="154" t="s">
        <v>59</v>
      </c>
      <c r="C25" s="155"/>
      <c r="D25" s="123">
        <f>IF(G25&lt;&gt;0,ROUND(H25/G25,2),0)</f>
        <v>0</v>
      </c>
      <c r="E25" s="194"/>
      <c r="F25" s="156"/>
      <c r="G25" s="157">
        <f>F25+G24</f>
        <v>0</v>
      </c>
      <c r="H25" s="158">
        <f>MIN(H24+(D24*F25),H24)</f>
        <v>0</v>
      </c>
      <c r="I25" s="111"/>
      <c r="J25" s="111"/>
      <c r="K25" s="157"/>
      <c r="L25" s="111"/>
      <c r="M25" s="159"/>
      <c r="N25" s="111"/>
      <c r="O25" s="123">
        <f>-F25*E25</f>
        <v>0</v>
      </c>
      <c r="P25" s="124">
        <f>-F25*(E25-D24)</f>
        <v>0</v>
      </c>
      <c r="Q25" s="117"/>
      <c r="R25" s="25"/>
      <c r="S25" s="25"/>
      <c r="T25" s="25"/>
      <c r="U25" s="25"/>
      <c r="V25" s="131">
        <v>6.91</v>
      </c>
      <c r="W25" s="131">
        <v>6.88</v>
      </c>
      <c r="X25" s="25"/>
      <c r="Y25" s="25"/>
    </row>
    <row r="26" spans="1:25" ht="16.2" thickBot="1" x14ac:dyDescent="0.35">
      <c r="A26" s="144" t="s">
        <v>58</v>
      </c>
      <c r="B26" s="145" t="s">
        <v>60</v>
      </c>
      <c r="C26" s="160"/>
      <c r="D26" s="161"/>
      <c r="E26" s="162"/>
      <c r="F26" s="162"/>
      <c r="G26" s="149"/>
      <c r="H26" s="163"/>
      <c r="I26" s="162">
        <f>I20</f>
        <v>0</v>
      </c>
      <c r="J26" s="195"/>
      <c r="K26" s="164"/>
      <c r="L26" s="149">
        <f>K26+L20</f>
        <v>0</v>
      </c>
      <c r="M26" s="163">
        <f>IF(K26&lt;&gt;0,MAX(0,M20+(I26*K26)),M20)</f>
        <v>0</v>
      </c>
      <c r="N26" s="148"/>
      <c r="O26" s="151">
        <f>-K26*J26</f>
        <v>0</v>
      </c>
      <c r="P26" s="152">
        <f>-K26*(J26-I20)</f>
        <v>0</v>
      </c>
      <c r="Q26" s="110"/>
      <c r="R26" s="25"/>
      <c r="S26" s="25"/>
      <c r="T26" s="25"/>
      <c r="U26" s="25"/>
      <c r="V26" s="131"/>
      <c r="W26" s="131"/>
      <c r="X26" s="25"/>
      <c r="Y26" s="25"/>
    </row>
    <row r="27" spans="1:25" ht="18.75" customHeight="1" x14ac:dyDescent="0.3">
      <c r="A27" s="196" t="s">
        <v>62</v>
      </c>
      <c r="B27" s="197"/>
      <c r="C27" s="198"/>
      <c r="D27" s="199"/>
      <c r="E27" s="200" t="s">
        <v>17</v>
      </c>
      <c r="F27" s="201"/>
      <c r="G27" s="202"/>
      <c r="H27" s="203"/>
      <c r="I27" s="199"/>
      <c r="J27" s="201" t="s">
        <v>18</v>
      </c>
      <c r="K27" s="204"/>
      <c r="L27" s="202"/>
      <c r="M27" s="203"/>
      <c r="N27" s="111"/>
      <c r="O27" s="211" t="s">
        <v>31</v>
      </c>
      <c r="P27" s="212" t="s">
        <v>35</v>
      </c>
      <c r="Q27" s="110"/>
      <c r="R27" s="25"/>
      <c r="S27" s="25"/>
      <c r="T27" s="25"/>
      <c r="U27" s="25"/>
      <c r="V27" s="25"/>
      <c r="W27" s="25"/>
      <c r="X27" s="25"/>
      <c r="Y27" s="25"/>
    </row>
    <row r="28" spans="1:25" ht="30.75" customHeight="1" thickBot="1" x14ac:dyDescent="0.35">
      <c r="A28" s="205" t="s">
        <v>35</v>
      </c>
      <c r="B28" s="206" t="s">
        <v>122</v>
      </c>
      <c r="C28" s="207" t="s">
        <v>116</v>
      </c>
      <c r="D28" s="208" t="s">
        <v>61</v>
      </c>
      <c r="E28" s="209" t="s">
        <v>123</v>
      </c>
      <c r="F28" s="209" t="s">
        <v>25</v>
      </c>
      <c r="G28" s="209" t="s">
        <v>108</v>
      </c>
      <c r="H28" s="210" t="s">
        <v>109</v>
      </c>
      <c r="I28" s="208" t="s">
        <v>61</v>
      </c>
      <c r="J28" s="209" t="s">
        <v>123</v>
      </c>
      <c r="K28" s="209" t="s">
        <v>25</v>
      </c>
      <c r="L28" s="209" t="s">
        <v>108</v>
      </c>
      <c r="M28" s="210" t="s">
        <v>109</v>
      </c>
      <c r="N28" s="112"/>
      <c r="O28" s="213" t="s">
        <v>34</v>
      </c>
      <c r="P28" s="214" t="s">
        <v>33</v>
      </c>
      <c r="Q28" s="110"/>
      <c r="R28" s="25"/>
      <c r="S28" s="25"/>
      <c r="T28" s="25"/>
      <c r="U28" s="25"/>
      <c r="V28" s="25"/>
      <c r="W28" s="25"/>
      <c r="X28" s="25"/>
      <c r="Y28" s="25"/>
    </row>
    <row r="29" spans="1:25" ht="31.2" x14ac:dyDescent="0.3">
      <c r="A29" s="165"/>
      <c r="B29" s="114" t="s">
        <v>19</v>
      </c>
      <c r="C29" s="115">
        <v>39918</v>
      </c>
      <c r="D29" s="116">
        <f>IF(G29&lt;&gt;0,ROUND(H29/G29,2),0)</f>
        <v>0</v>
      </c>
      <c r="E29" s="121">
        <v>6.88</v>
      </c>
      <c r="F29" s="126"/>
      <c r="G29" s="122">
        <f>F29+G25</f>
        <v>0</v>
      </c>
      <c r="H29" s="127">
        <f>IF(F29&lt;&gt;0,H25+(D25*F29),H25)</f>
        <v>0</v>
      </c>
      <c r="I29" s="128"/>
      <c r="J29" s="112"/>
      <c r="K29" s="122"/>
      <c r="L29" s="112"/>
      <c r="M29" s="129"/>
      <c r="N29" s="25"/>
      <c r="O29" s="120">
        <f>-F29*E29</f>
        <v>0</v>
      </c>
      <c r="P29" s="130">
        <f>-F29*(E29-D25)</f>
        <v>0</v>
      </c>
      <c r="Q29" s="110"/>
      <c r="R29" s="25"/>
      <c r="S29" s="25"/>
      <c r="T29" s="25"/>
      <c r="U29" s="25"/>
      <c r="V29" s="131">
        <v>6.91</v>
      </c>
      <c r="W29" s="131">
        <v>6.88</v>
      </c>
      <c r="X29" s="25"/>
      <c r="Y29" s="25"/>
    </row>
    <row r="30" spans="1:25" ht="31.2" x14ac:dyDescent="0.3">
      <c r="A30" s="165"/>
      <c r="B30" s="114" t="s">
        <v>29</v>
      </c>
      <c r="C30" s="166">
        <v>39931</v>
      </c>
      <c r="D30" s="120" t="str">
        <f>IF(G30&lt;&gt;0,ROUND(H30/G30,2),"")</f>
        <v/>
      </c>
      <c r="E30" s="121"/>
      <c r="F30" s="121"/>
      <c r="G30" s="122"/>
      <c r="H30" s="129"/>
      <c r="I30" s="120">
        <f>IF(L30&lt;&gt;0,ROUND(M30/L30,2),0)</f>
        <v>0</v>
      </c>
      <c r="J30" s="132">
        <v>6.91</v>
      </c>
      <c r="K30" s="126"/>
      <c r="L30" s="122">
        <f>K30+L26</f>
        <v>0</v>
      </c>
      <c r="M30" s="127">
        <f>IF(K30&lt;&gt;0,M26+(J30*K30),M26)</f>
        <v>0</v>
      </c>
      <c r="N30" s="25"/>
      <c r="O30" s="120"/>
      <c r="P30" s="130"/>
      <c r="Q30" s="110"/>
      <c r="R30" s="25"/>
      <c r="S30" s="25"/>
      <c r="T30" s="25"/>
      <c r="U30" s="25"/>
      <c r="V30" s="131"/>
      <c r="W30" s="131"/>
      <c r="X30" s="25"/>
      <c r="Y30" s="25"/>
    </row>
    <row r="31" spans="1:25" ht="15.6" x14ac:dyDescent="0.3">
      <c r="A31" s="167"/>
      <c r="B31" s="142" t="s">
        <v>99</v>
      </c>
      <c r="C31" s="115">
        <v>40060</v>
      </c>
      <c r="D31" s="116">
        <f>D29</f>
        <v>0</v>
      </c>
      <c r="E31" s="121">
        <f>D29</f>
        <v>0</v>
      </c>
      <c r="F31" s="126"/>
      <c r="G31" s="122">
        <f>F31+G29</f>
        <v>0</v>
      </c>
      <c r="H31" s="127">
        <f>IF(F31&lt;&gt;0,H29+(E31*F31),H29)</f>
        <v>0</v>
      </c>
      <c r="I31" s="120"/>
      <c r="J31" s="121"/>
      <c r="K31" s="122"/>
      <c r="L31" s="122"/>
      <c r="M31" s="127"/>
      <c r="N31" s="112"/>
      <c r="O31" s="120">
        <f>IF(B31="Transfer to spouse (no CGT)",0,-F31*E31)</f>
        <v>0</v>
      </c>
      <c r="P31" s="130">
        <f>IF(B31="Transfer to spouse (no CGT)",0,-F31*(E31-D29))</f>
        <v>0</v>
      </c>
      <c r="Q31" s="110"/>
      <c r="R31" s="25"/>
      <c r="S31" s="25"/>
      <c r="T31" s="25"/>
      <c r="U31" s="25"/>
      <c r="V31" s="131"/>
      <c r="W31" s="131"/>
      <c r="X31" s="25"/>
      <c r="Y31" s="25"/>
    </row>
    <row r="32" spans="1:25" ht="31.2" x14ac:dyDescent="0.3">
      <c r="A32" s="167"/>
      <c r="B32" s="114" t="s">
        <v>117</v>
      </c>
      <c r="C32" s="166">
        <v>40094</v>
      </c>
      <c r="D32" s="116">
        <f>IF(G32&lt;&gt;0,ROUND(H32/G32,2),0)</f>
        <v>0</v>
      </c>
      <c r="E32" s="132">
        <v>7.19</v>
      </c>
      <c r="F32" s="126"/>
      <c r="G32" s="122">
        <f>F32+G31</f>
        <v>0</v>
      </c>
      <c r="H32" s="127">
        <f>IF(F32&lt;&gt;0,H31+(E32*F32),H31)</f>
        <v>0</v>
      </c>
      <c r="I32" s="120"/>
      <c r="J32" s="121"/>
      <c r="K32" s="122"/>
      <c r="L32" s="122"/>
      <c r="M32" s="127"/>
      <c r="N32" s="25"/>
      <c r="O32" s="120"/>
      <c r="P32" s="130"/>
      <c r="Q32" s="110"/>
      <c r="R32" s="25"/>
      <c r="S32" s="25"/>
      <c r="T32" s="25"/>
      <c r="U32" s="25"/>
      <c r="V32" s="131">
        <v>7.19</v>
      </c>
      <c r="W32" s="131">
        <v>7.16</v>
      </c>
      <c r="X32" s="25"/>
      <c r="Y32" s="25"/>
    </row>
    <row r="33" spans="1:25" ht="15.6" x14ac:dyDescent="0.3">
      <c r="A33" s="167"/>
      <c r="B33" s="114" t="s">
        <v>24</v>
      </c>
      <c r="C33" s="115">
        <v>40094</v>
      </c>
      <c r="D33" s="116">
        <f>D32</f>
        <v>0</v>
      </c>
      <c r="E33" s="121">
        <v>7.16</v>
      </c>
      <c r="F33" s="126"/>
      <c r="G33" s="122">
        <f>F33+G32</f>
        <v>0</v>
      </c>
      <c r="H33" s="127">
        <f>IF(F33&lt;&gt;0,H32+(D33*F33),H32)</f>
        <v>0</v>
      </c>
      <c r="I33" s="120"/>
      <c r="J33" s="121"/>
      <c r="K33" s="122"/>
      <c r="L33" s="122"/>
      <c r="M33" s="127"/>
      <c r="N33" s="25"/>
      <c r="O33" s="120">
        <f>-F33*E33</f>
        <v>0</v>
      </c>
      <c r="P33" s="130">
        <f>-F33*(E33-D32)</f>
        <v>0</v>
      </c>
      <c r="Q33" s="110"/>
      <c r="R33" s="25"/>
      <c r="S33" s="25"/>
      <c r="T33" s="25"/>
      <c r="U33" s="25"/>
      <c r="V33" s="131"/>
      <c r="W33" s="131"/>
      <c r="X33" s="25"/>
      <c r="Y33" s="25"/>
    </row>
    <row r="34" spans="1:25" ht="31.2" x14ac:dyDescent="0.3">
      <c r="A34" s="167"/>
      <c r="B34" s="114" t="s">
        <v>118</v>
      </c>
      <c r="C34" s="115">
        <v>40238</v>
      </c>
      <c r="D34" s="116">
        <f>IF(G34&lt;&gt;0,ROUND(H34/G34,2),0)</f>
        <v>0</v>
      </c>
      <c r="E34" s="121" t="str">
        <f>IF(K34&lt;0,J34,"")</f>
        <v/>
      </c>
      <c r="F34" s="143" t="str">
        <f>IF(K34&lt;0,-K34,"")</f>
        <v/>
      </c>
      <c r="G34" s="122">
        <f>IF(F34="",G33,F34+G33)</f>
        <v>0</v>
      </c>
      <c r="H34" s="127">
        <f>IF(F34="",H33,H33+(E34*F34))</f>
        <v>0</v>
      </c>
      <c r="I34" s="120">
        <f>IF(L34&lt;&gt;0,ROUND(M34/L34,2),0)</f>
        <v>0</v>
      </c>
      <c r="J34" s="121">
        <f>I30</f>
        <v>0</v>
      </c>
      <c r="K34" s="126"/>
      <c r="L34" s="122">
        <f>K34+L30</f>
        <v>0</v>
      </c>
      <c r="M34" s="127">
        <f>IF(K34&lt;&gt;0,M30+(J34*K34),M30)</f>
        <v>0</v>
      </c>
      <c r="N34" s="112"/>
      <c r="O34" s="120"/>
      <c r="P34" s="130"/>
      <c r="Q34" s="110"/>
      <c r="R34" s="25"/>
      <c r="S34" s="25"/>
      <c r="T34" s="25"/>
      <c r="U34" s="25"/>
      <c r="V34" s="131"/>
      <c r="W34" s="131"/>
      <c r="X34" s="25"/>
      <c r="Y34" s="25"/>
    </row>
    <row r="35" spans="1:25" ht="15.6" x14ac:dyDescent="0.3">
      <c r="A35" s="167"/>
      <c r="B35" s="142" t="s">
        <v>99</v>
      </c>
      <c r="C35" s="168">
        <v>40242</v>
      </c>
      <c r="D35" s="120">
        <f>D34</f>
        <v>0</v>
      </c>
      <c r="E35" s="121">
        <f>D34</f>
        <v>0</v>
      </c>
      <c r="F35" s="126"/>
      <c r="G35" s="122">
        <f>F35+G34</f>
        <v>0</v>
      </c>
      <c r="H35" s="127">
        <f>IF(F35&lt;&gt;0,H34+(D35*F35),H34)</f>
        <v>0</v>
      </c>
      <c r="I35" s="120"/>
      <c r="J35" s="121"/>
      <c r="K35" s="122"/>
      <c r="L35" s="122"/>
      <c r="M35" s="127"/>
      <c r="N35" s="112"/>
      <c r="O35" s="120">
        <f>IF(B35="Transfer to spouse (no CGT)",0,-F35*E35)</f>
        <v>0</v>
      </c>
      <c r="P35" s="130">
        <f>IF(B35="Transfer to spouse (no CGT)",0,-F35*(E35-D34))</f>
        <v>0</v>
      </c>
      <c r="Q35" s="110"/>
      <c r="R35" s="25"/>
      <c r="S35" s="25"/>
      <c r="T35" s="25"/>
      <c r="U35" s="25"/>
      <c r="V35" s="131"/>
      <c r="W35" s="131"/>
      <c r="X35" s="25"/>
      <c r="Y35" s="25"/>
    </row>
    <row r="36" spans="1:25" ht="31.2" x14ac:dyDescent="0.3">
      <c r="A36" s="169"/>
      <c r="B36" s="114" t="s">
        <v>121</v>
      </c>
      <c r="C36" s="168">
        <v>40261</v>
      </c>
      <c r="D36" s="120"/>
      <c r="E36" s="121"/>
      <c r="F36" s="121"/>
      <c r="G36" s="122"/>
      <c r="H36" s="129"/>
      <c r="I36" s="120">
        <f>IF(L36&lt;&gt;0,ROUND(M36/L36,2),0)</f>
        <v>0</v>
      </c>
      <c r="J36" s="132">
        <v>7.87</v>
      </c>
      <c r="K36" s="126"/>
      <c r="L36" s="122">
        <f>K36+L34</f>
        <v>0</v>
      </c>
      <c r="M36" s="127">
        <f>IF(K36&lt;&gt;0,M34+(J36*K36),M34)</f>
        <v>0</v>
      </c>
      <c r="N36" s="25"/>
      <c r="O36" s="120"/>
      <c r="P36" s="130"/>
      <c r="Q36" s="110"/>
      <c r="R36" s="25"/>
      <c r="S36" s="25"/>
      <c r="T36" s="25"/>
      <c r="U36" s="25"/>
      <c r="V36" s="131"/>
      <c r="W36" s="131"/>
      <c r="X36" s="25"/>
      <c r="Y36" s="25"/>
    </row>
    <row r="37" spans="1:25" ht="15.6" x14ac:dyDescent="0.3">
      <c r="A37" s="169"/>
      <c r="B37" s="114" t="s">
        <v>24</v>
      </c>
      <c r="C37" s="168">
        <v>40268</v>
      </c>
      <c r="D37" s="116">
        <f>D35</f>
        <v>0</v>
      </c>
      <c r="E37" s="121">
        <v>7.83</v>
      </c>
      <c r="F37" s="126"/>
      <c r="G37" s="122">
        <f>F37+G35</f>
        <v>0</v>
      </c>
      <c r="H37" s="127">
        <f>IF(F37&lt;&gt;0,H35+(D37*F37),H35)</f>
        <v>0</v>
      </c>
      <c r="I37" s="128"/>
      <c r="J37" s="112"/>
      <c r="K37" s="122"/>
      <c r="L37" s="122"/>
      <c r="M37" s="129"/>
      <c r="N37" s="112"/>
      <c r="O37" s="120">
        <f>-F37*E37</f>
        <v>0</v>
      </c>
      <c r="P37" s="130">
        <f>-F37*(E37-D35)</f>
        <v>0</v>
      </c>
      <c r="Q37" s="110"/>
      <c r="R37" s="25"/>
      <c r="S37" s="25"/>
      <c r="T37" s="25"/>
      <c r="U37" s="25"/>
      <c r="V37" s="131">
        <v>7.87</v>
      </c>
      <c r="W37" s="131">
        <v>7.83</v>
      </c>
      <c r="X37" s="25"/>
      <c r="Y37" s="25"/>
    </row>
    <row r="38" spans="1:25" ht="31.2" x14ac:dyDescent="0.3">
      <c r="A38" s="169"/>
      <c r="B38" s="114" t="s">
        <v>119</v>
      </c>
      <c r="C38" s="168">
        <v>40268</v>
      </c>
      <c r="D38" s="116">
        <f>IF(G38&lt;&gt;0,ROUND(H38/G38,2),0)</f>
        <v>0</v>
      </c>
      <c r="E38" s="132">
        <v>7.87</v>
      </c>
      <c r="F38" s="126"/>
      <c r="G38" s="122">
        <f>F38+G37</f>
        <v>0</v>
      </c>
      <c r="H38" s="127">
        <f>IF(F38&lt;&gt;0,H37+(E38*F38),H37)</f>
        <v>0</v>
      </c>
      <c r="I38" s="128"/>
      <c r="J38" s="112"/>
      <c r="K38" s="122"/>
      <c r="L38" s="122"/>
      <c r="M38" s="129"/>
      <c r="N38" s="112"/>
      <c r="O38" s="120"/>
      <c r="P38" s="130"/>
      <c r="Q38" s="110"/>
      <c r="R38" s="25"/>
      <c r="S38" s="25"/>
      <c r="T38" s="25"/>
      <c r="U38" s="25"/>
      <c r="V38" s="131"/>
      <c r="W38" s="131"/>
      <c r="X38" s="25"/>
      <c r="Y38" s="25"/>
    </row>
    <row r="39" spans="1:25" ht="16.2" thickBot="1" x14ac:dyDescent="0.35">
      <c r="A39" s="144"/>
      <c r="B39" s="145" t="s">
        <v>30</v>
      </c>
      <c r="C39" s="168">
        <v>40268</v>
      </c>
      <c r="D39" s="116">
        <f>IF(G39&lt;&gt;0,ROUND(H39/G39,2),0)</f>
        <v>0</v>
      </c>
      <c r="E39" s="132">
        <v>7.87</v>
      </c>
      <c r="F39" s="126"/>
      <c r="G39" s="122">
        <f>F39+G38</f>
        <v>0</v>
      </c>
      <c r="H39" s="127">
        <f>IF(F39&lt;&gt;0,H38+(E39*F39),H38)</f>
        <v>0</v>
      </c>
      <c r="I39" s="147"/>
      <c r="J39" s="148"/>
      <c r="K39" s="149"/>
      <c r="L39" s="148"/>
      <c r="M39" s="150"/>
      <c r="N39" s="148"/>
      <c r="O39" s="151"/>
      <c r="P39" s="152"/>
      <c r="Q39" s="110"/>
      <c r="R39" s="25"/>
      <c r="S39" s="25"/>
      <c r="T39" s="25"/>
      <c r="U39" s="25"/>
      <c r="V39" s="131"/>
      <c r="W39" s="131"/>
      <c r="X39" s="25"/>
      <c r="Y39" s="25"/>
    </row>
    <row r="40" spans="1:25" ht="15.6" x14ac:dyDescent="0.3">
      <c r="A40" s="153" t="s">
        <v>58</v>
      </c>
      <c r="B40" s="154" t="s">
        <v>59</v>
      </c>
      <c r="C40" s="170"/>
      <c r="D40" s="123">
        <f>IF(G40&lt;&gt;0,ROUND(H40/G40,2),0)</f>
        <v>0</v>
      </c>
      <c r="E40" s="194"/>
      <c r="F40" s="156"/>
      <c r="G40" s="157">
        <f>F40+G39</f>
        <v>0</v>
      </c>
      <c r="H40" s="158">
        <f>IF(G40=0,0,MIN(H39+(D39*F40),H39))</f>
        <v>0</v>
      </c>
      <c r="I40" s="171"/>
      <c r="J40" s="111"/>
      <c r="K40" s="157"/>
      <c r="L40" s="111"/>
      <c r="M40" s="159"/>
      <c r="N40" s="111"/>
      <c r="O40" s="123">
        <f>-F40*E40</f>
        <v>0</v>
      </c>
      <c r="P40" s="124">
        <f>-F40*(E40-D39)</f>
        <v>0</v>
      </c>
      <c r="Q40" s="117"/>
      <c r="R40" s="25"/>
      <c r="S40" s="25"/>
      <c r="T40" s="25"/>
      <c r="U40" s="25"/>
      <c r="V40" s="131"/>
      <c r="W40" s="131"/>
      <c r="X40" s="25"/>
      <c r="Y40" s="25"/>
    </row>
    <row r="41" spans="1:25" ht="16.2" thickBot="1" x14ac:dyDescent="0.35">
      <c r="A41" s="144" t="s">
        <v>58</v>
      </c>
      <c r="B41" s="145" t="s">
        <v>60</v>
      </c>
      <c r="C41" s="172"/>
      <c r="D41" s="161"/>
      <c r="E41" s="162"/>
      <c r="F41" s="162"/>
      <c r="G41" s="149"/>
      <c r="H41" s="163"/>
      <c r="I41" s="151">
        <f>I36</f>
        <v>0</v>
      </c>
      <c r="J41" s="195"/>
      <c r="K41" s="164"/>
      <c r="L41" s="149">
        <f>K41+L36</f>
        <v>0</v>
      </c>
      <c r="M41" s="163">
        <f>IF(K41&lt;&gt;0,MAX(0,M36+(I41*K41)),M36)</f>
        <v>0</v>
      </c>
      <c r="N41" s="148"/>
      <c r="O41" s="151">
        <f>-K41*J41</f>
        <v>0</v>
      </c>
      <c r="P41" s="152">
        <f>-K41*(J41-I36)</f>
        <v>0</v>
      </c>
      <c r="Q41" s="110"/>
      <c r="R41" s="25"/>
      <c r="S41" s="25"/>
      <c r="T41" s="25"/>
      <c r="U41" s="25"/>
      <c r="V41" s="131"/>
      <c r="W41" s="131"/>
      <c r="X41" s="25"/>
      <c r="Y41" s="25"/>
    </row>
    <row r="42" spans="1:25" ht="18.75" customHeight="1" x14ac:dyDescent="0.3">
      <c r="A42" s="196" t="s">
        <v>62</v>
      </c>
      <c r="B42" s="197"/>
      <c r="C42" s="198"/>
      <c r="D42" s="199"/>
      <c r="E42" s="200" t="s">
        <v>17</v>
      </c>
      <c r="F42" s="201"/>
      <c r="G42" s="202"/>
      <c r="H42" s="203"/>
      <c r="I42" s="199"/>
      <c r="J42" s="201" t="s">
        <v>18</v>
      </c>
      <c r="K42" s="204">
        <v>3</v>
      </c>
      <c r="L42" s="202"/>
      <c r="M42" s="203"/>
      <c r="N42" s="111"/>
      <c r="O42" s="211" t="s">
        <v>31</v>
      </c>
      <c r="P42" s="212" t="s">
        <v>120</v>
      </c>
      <c r="Q42" s="110"/>
      <c r="R42" s="25"/>
      <c r="S42" s="25"/>
      <c r="T42" s="25"/>
      <c r="U42" s="25"/>
      <c r="V42" s="25"/>
      <c r="W42" s="25"/>
      <c r="X42" s="25"/>
      <c r="Y42" s="25"/>
    </row>
    <row r="43" spans="1:25" ht="30.75" customHeight="1" thickBot="1" x14ac:dyDescent="0.35">
      <c r="A43" s="205" t="s">
        <v>120</v>
      </c>
      <c r="B43" s="206" t="s">
        <v>122</v>
      </c>
      <c r="C43" s="207" t="s">
        <v>116</v>
      </c>
      <c r="D43" s="208" t="s">
        <v>61</v>
      </c>
      <c r="E43" s="209" t="s">
        <v>123</v>
      </c>
      <c r="F43" s="209" t="s">
        <v>25</v>
      </c>
      <c r="G43" s="209" t="s">
        <v>108</v>
      </c>
      <c r="H43" s="210" t="s">
        <v>109</v>
      </c>
      <c r="I43" s="208" t="s">
        <v>61</v>
      </c>
      <c r="J43" s="209" t="s">
        <v>123</v>
      </c>
      <c r="K43" s="209" t="s">
        <v>25</v>
      </c>
      <c r="L43" s="209" t="s">
        <v>108</v>
      </c>
      <c r="M43" s="210" t="s">
        <v>109</v>
      </c>
      <c r="N43" s="112"/>
      <c r="O43" s="213" t="s">
        <v>34</v>
      </c>
      <c r="P43" s="214" t="s">
        <v>33</v>
      </c>
      <c r="Q43" s="110"/>
      <c r="R43" s="25"/>
      <c r="S43" s="25"/>
      <c r="T43" s="25"/>
      <c r="U43" s="25"/>
      <c r="V43" s="25"/>
      <c r="W43" s="25"/>
      <c r="X43" s="25"/>
      <c r="Y43" s="25"/>
    </row>
    <row r="44" spans="1:25" ht="31.2" x14ac:dyDescent="0.3">
      <c r="A44" s="113"/>
      <c r="B44" s="114" t="s">
        <v>19</v>
      </c>
      <c r="C44" s="168">
        <v>40287</v>
      </c>
      <c r="D44" s="116">
        <f>IF(G44&lt;&gt;0,ROUND(H44/G44,2),0)</f>
        <v>0</v>
      </c>
      <c r="E44" s="121">
        <v>7.83</v>
      </c>
      <c r="F44" s="126"/>
      <c r="G44" s="122">
        <f>F44+G40</f>
        <v>0</v>
      </c>
      <c r="H44" s="127">
        <f>IF(F44&lt;&gt;0,H40+(D40*F44),H40)</f>
        <v>0</v>
      </c>
      <c r="I44" s="120"/>
      <c r="J44" s="121"/>
      <c r="K44" s="122"/>
      <c r="L44" s="122"/>
      <c r="M44" s="127"/>
      <c r="N44" s="25"/>
      <c r="O44" s="120">
        <f>-F44*E44</f>
        <v>0</v>
      </c>
      <c r="P44" s="130">
        <f>-F44*(E44-D40)</f>
        <v>0</v>
      </c>
      <c r="Q44" s="110"/>
      <c r="R44" s="25"/>
      <c r="S44" s="25"/>
      <c r="T44" s="25"/>
      <c r="U44" s="25"/>
      <c r="V44" s="131"/>
      <c r="W44" s="131"/>
      <c r="X44" s="25"/>
      <c r="Y44" s="25"/>
    </row>
    <row r="45" spans="1:25" ht="31.2" x14ac:dyDescent="0.3">
      <c r="A45" s="113"/>
      <c r="B45" s="114" t="s">
        <v>143</v>
      </c>
      <c r="C45" s="173">
        <v>40305</v>
      </c>
      <c r="D45" s="120"/>
      <c r="E45" s="121"/>
      <c r="F45" s="121"/>
      <c r="G45" s="122"/>
      <c r="H45" s="129"/>
      <c r="I45" s="120">
        <f>IF(L45&lt;&gt;0,ROUND(M45/L45,2),0)</f>
        <v>0</v>
      </c>
      <c r="J45" s="132">
        <v>7.87</v>
      </c>
      <c r="K45" s="126"/>
      <c r="L45" s="122">
        <f>K45+L41</f>
        <v>0</v>
      </c>
      <c r="M45" s="127">
        <f>IF(K45&lt;&gt;0,M41+(J45*K45),M41)</f>
        <v>0</v>
      </c>
      <c r="N45" s="25"/>
      <c r="O45" s="120"/>
      <c r="P45" s="130"/>
      <c r="Q45" s="110"/>
      <c r="R45" s="25"/>
      <c r="S45" s="25"/>
      <c r="T45" s="25"/>
      <c r="U45" s="25"/>
      <c r="V45" s="131"/>
      <c r="W45" s="131"/>
      <c r="X45" s="25"/>
      <c r="Y45" s="25"/>
    </row>
    <row r="46" spans="1:25" ht="15.6" x14ac:dyDescent="0.3">
      <c r="A46" s="167"/>
      <c r="B46" s="142" t="s">
        <v>99</v>
      </c>
      <c r="C46" s="168">
        <v>40424</v>
      </c>
      <c r="D46" s="116">
        <f>D44</f>
        <v>0</v>
      </c>
      <c r="E46" s="121">
        <f>D44</f>
        <v>0</v>
      </c>
      <c r="F46" s="126"/>
      <c r="G46" s="122">
        <f>F46+G44</f>
        <v>0</v>
      </c>
      <c r="H46" s="127">
        <f>IF(F46&lt;&gt;0,H44+(E46*F46),H44)</f>
        <v>0</v>
      </c>
      <c r="I46" s="120"/>
      <c r="J46" s="121"/>
      <c r="K46" s="122"/>
      <c r="L46" s="122"/>
      <c r="M46" s="127"/>
      <c r="N46" s="112"/>
      <c r="O46" s="120">
        <f>IF(B46="Transfer to spouse (no CGT)",0,-F46*E46)</f>
        <v>0</v>
      </c>
      <c r="P46" s="130">
        <f>IF(B46="Transfer to spouse (no CGT)",0,-F46*(E46-D44))</f>
        <v>0</v>
      </c>
      <c r="Q46" s="110"/>
      <c r="R46" s="25"/>
      <c r="S46" s="25"/>
      <c r="T46" s="25"/>
      <c r="U46" s="25"/>
      <c r="V46" s="168">
        <v>40424</v>
      </c>
      <c r="W46" s="168" t="s">
        <v>296</v>
      </c>
      <c r="X46" s="25"/>
      <c r="Y46" s="25"/>
    </row>
    <row r="47" spans="1:25" ht="31.2" x14ac:dyDescent="0.3">
      <c r="A47" s="167"/>
      <c r="B47" s="114" t="s">
        <v>117</v>
      </c>
      <c r="C47" s="168">
        <v>40456</v>
      </c>
      <c r="D47" s="116">
        <f>IF(G47&lt;&gt;0,ROUND(H47/G47,2),0)</f>
        <v>0</v>
      </c>
      <c r="E47" s="174">
        <v>8.11</v>
      </c>
      <c r="F47" s="126"/>
      <c r="G47" s="122">
        <f>F47+G46</f>
        <v>0</v>
      </c>
      <c r="H47" s="127">
        <f>IF(F47&lt;&gt;0,H46+(E47*F47),H46)</f>
        <v>0</v>
      </c>
      <c r="I47" s="120"/>
      <c r="J47" s="121"/>
      <c r="K47" s="122"/>
      <c r="L47" s="122"/>
      <c r="M47" s="127"/>
      <c r="N47" s="25"/>
      <c r="O47" s="120"/>
      <c r="P47" s="130"/>
      <c r="Q47" s="110"/>
      <c r="R47" s="25"/>
      <c r="S47" s="25"/>
      <c r="T47" s="25"/>
      <c r="U47" s="25"/>
      <c r="V47" s="131">
        <v>8.11</v>
      </c>
      <c r="W47" s="131">
        <v>8.07</v>
      </c>
      <c r="X47" s="25"/>
      <c r="Y47" s="25"/>
    </row>
    <row r="48" spans="1:25" ht="15.6" x14ac:dyDescent="0.3">
      <c r="A48" s="169"/>
      <c r="B48" s="114" t="s">
        <v>24</v>
      </c>
      <c r="C48" s="168">
        <v>40456</v>
      </c>
      <c r="D48" s="116">
        <f>D47</f>
        <v>0</v>
      </c>
      <c r="E48" s="121">
        <v>8.07</v>
      </c>
      <c r="F48" s="126"/>
      <c r="G48" s="122">
        <f>F48+G47</f>
        <v>0</v>
      </c>
      <c r="H48" s="127">
        <f>IF(F48&lt;&gt;0,H47+(D48*F48),H47)</f>
        <v>0</v>
      </c>
      <c r="I48" s="120"/>
      <c r="J48" s="121"/>
      <c r="K48" s="122"/>
      <c r="L48" s="122"/>
      <c r="M48" s="127"/>
      <c r="N48" s="25"/>
      <c r="O48" s="120">
        <f>-F48*E48</f>
        <v>0</v>
      </c>
      <c r="P48" s="130">
        <f>-F48*(E48-D47)</f>
        <v>0</v>
      </c>
      <c r="Q48" s="110"/>
      <c r="R48" s="25"/>
      <c r="S48" s="25"/>
      <c r="T48" s="25"/>
      <c r="U48" s="25"/>
      <c r="V48" s="131">
        <v>8.11</v>
      </c>
      <c r="W48" s="131">
        <v>8.07</v>
      </c>
      <c r="X48" s="25"/>
      <c r="Y48" s="25"/>
    </row>
    <row r="49" spans="1:25" ht="31.2" x14ac:dyDescent="0.3">
      <c r="A49" s="169"/>
      <c r="B49" s="114" t="s">
        <v>124</v>
      </c>
      <c r="C49" s="168">
        <v>40603</v>
      </c>
      <c r="D49" s="116">
        <f>IF(G49&lt;&gt;0,ROUND(H49/G49,2),0)</f>
        <v>0</v>
      </c>
      <c r="E49" s="121" t="str">
        <f>IF(K49&lt;0,J49,"")</f>
        <v/>
      </c>
      <c r="F49" s="143" t="str">
        <f>IF(K49&lt;0,-K49,"")</f>
        <v/>
      </c>
      <c r="G49" s="122">
        <f>IF(F49="",G48,F49+G48)</f>
        <v>0</v>
      </c>
      <c r="H49" s="127">
        <f>IF(F49="",H48,H48+(E49*F49))</f>
        <v>0</v>
      </c>
      <c r="I49" s="120">
        <f>IF(L49&lt;&gt;0,ROUND(M49/L49,2),0)</f>
        <v>0</v>
      </c>
      <c r="J49" s="121">
        <f>I45</f>
        <v>0</v>
      </c>
      <c r="K49" s="126"/>
      <c r="L49" s="122">
        <f>K49+L45</f>
        <v>0</v>
      </c>
      <c r="M49" s="127">
        <f>IF(K49&lt;&gt;0,M45+(J49*K49),M45)</f>
        <v>0</v>
      </c>
      <c r="N49" s="112"/>
      <c r="O49" s="120"/>
      <c r="P49" s="130"/>
      <c r="Q49" s="110"/>
      <c r="R49" s="25"/>
      <c r="S49" s="25"/>
      <c r="T49" s="25"/>
      <c r="U49" s="25"/>
      <c r="V49" s="131"/>
      <c r="W49" s="131"/>
      <c r="X49" s="25"/>
      <c r="Y49" s="25"/>
    </row>
    <row r="50" spans="1:25" ht="15.6" x14ac:dyDescent="0.3">
      <c r="A50" s="175"/>
      <c r="B50" s="142" t="s">
        <v>99</v>
      </c>
      <c r="C50" s="168">
        <v>40606</v>
      </c>
      <c r="D50" s="120">
        <f>D49</f>
        <v>0</v>
      </c>
      <c r="E50" s="176"/>
      <c r="F50" s="126"/>
      <c r="G50" s="122">
        <f>F50+G49</f>
        <v>0</v>
      </c>
      <c r="H50" s="127">
        <f>IF(F50&lt;&gt;0,H49+(D50*F50),H49)</f>
        <v>0</v>
      </c>
      <c r="I50" s="120"/>
      <c r="J50" s="121"/>
      <c r="K50" s="122"/>
      <c r="L50" s="122"/>
      <c r="M50" s="127"/>
      <c r="N50" s="112"/>
      <c r="O50" s="120">
        <f>IF(B50="Transfer to spouse (no CGT)",0,-F50*E50)</f>
        <v>0</v>
      </c>
      <c r="P50" s="130">
        <f>IF(B50="Transfer to spouse (no CGT)",0,-F50*(E50-D49))</f>
        <v>0</v>
      </c>
      <c r="Q50" s="110"/>
      <c r="R50" s="25"/>
      <c r="S50" s="25"/>
      <c r="T50" s="25"/>
      <c r="U50" s="25"/>
      <c r="V50" s="131"/>
      <c r="W50" s="131"/>
      <c r="X50" s="25"/>
      <c r="Y50" s="25"/>
    </row>
    <row r="51" spans="1:25" ht="15.6" x14ac:dyDescent="0.3">
      <c r="A51" s="167"/>
      <c r="B51" s="114" t="s">
        <v>24</v>
      </c>
      <c r="C51" s="168">
        <v>40637</v>
      </c>
      <c r="D51" s="116">
        <f>D50</f>
        <v>0</v>
      </c>
      <c r="E51" s="121">
        <v>8.31</v>
      </c>
      <c r="F51" s="126"/>
      <c r="G51" s="122">
        <f>F51+G50</f>
        <v>0</v>
      </c>
      <c r="H51" s="127">
        <f>IF(F51&lt;&gt;0,H50+(D51*F51),H50)</f>
        <v>0</v>
      </c>
      <c r="I51" s="128"/>
      <c r="J51" s="112"/>
      <c r="K51" s="122"/>
      <c r="L51" s="122"/>
      <c r="M51" s="129"/>
      <c r="N51" s="112"/>
      <c r="O51" s="120">
        <f>-F51*E51</f>
        <v>0</v>
      </c>
      <c r="P51" s="130">
        <f>-F51*(E51-D50)</f>
        <v>0</v>
      </c>
      <c r="Q51" s="110"/>
      <c r="R51" s="25"/>
      <c r="S51" s="25"/>
      <c r="T51" s="25"/>
      <c r="U51" s="25"/>
      <c r="V51" s="131">
        <v>8.35</v>
      </c>
      <c r="W51" s="131">
        <v>8.31</v>
      </c>
      <c r="X51" s="25"/>
      <c r="Y51" s="25"/>
    </row>
    <row r="52" spans="1:25" ht="31.2" x14ac:dyDescent="0.3">
      <c r="A52" s="167"/>
      <c r="B52" s="114" t="s">
        <v>119</v>
      </c>
      <c r="C52" s="168">
        <v>40637</v>
      </c>
      <c r="D52" s="116">
        <f>IF(G52&lt;&gt;0,ROUND(H52/G52,2),0)</f>
        <v>0</v>
      </c>
      <c r="E52" s="174">
        <v>8.35</v>
      </c>
      <c r="F52" s="126"/>
      <c r="G52" s="122">
        <f>F52+G51</f>
        <v>0</v>
      </c>
      <c r="H52" s="127">
        <f>IF(F52&lt;&gt;0,H51+(E52*F52),H51)</f>
        <v>0</v>
      </c>
      <c r="I52" s="128"/>
      <c r="J52" s="112"/>
      <c r="K52" s="122"/>
      <c r="L52" s="122"/>
      <c r="M52" s="129"/>
      <c r="N52" s="112"/>
      <c r="O52" s="120"/>
      <c r="P52" s="130"/>
      <c r="Q52" s="110"/>
      <c r="R52" s="25"/>
      <c r="S52" s="25"/>
      <c r="T52" s="25"/>
      <c r="U52" s="25"/>
      <c r="V52" s="131">
        <v>8.35</v>
      </c>
      <c r="W52" s="131">
        <v>8.31</v>
      </c>
      <c r="X52" s="25"/>
      <c r="Y52" s="25"/>
    </row>
    <row r="53" spans="1:25" ht="16.2" thickBot="1" x14ac:dyDescent="0.35">
      <c r="A53" s="144"/>
      <c r="B53" s="145" t="s">
        <v>30</v>
      </c>
      <c r="C53" s="168">
        <v>40637</v>
      </c>
      <c r="D53" s="116">
        <f>IF(G53&lt;&gt;0,ROUND(H53/G53,2),0)</f>
        <v>0</v>
      </c>
      <c r="E53" s="174">
        <v>8.35</v>
      </c>
      <c r="F53" s="126"/>
      <c r="G53" s="122">
        <f>F53+G52</f>
        <v>0</v>
      </c>
      <c r="H53" s="127">
        <f>IF(F53&lt;&gt;0,H52+(E53*F53),H52)</f>
        <v>0</v>
      </c>
      <c r="I53" s="147"/>
      <c r="J53" s="148"/>
      <c r="K53" s="149"/>
      <c r="L53" s="148"/>
      <c r="M53" s="150"/>
      <c r="N53" s="148"/>
      <c r="O53" s="151"/>
      <c r="P53" s="152"/>
      <c r="Q53" s="110"/>
      <c r="R53" s="25"/>
      <c r="S53" s="25"/>
      <c r="T53" s="25"/>
      <c r="U53" s="25"/>
      <c r="V53" s="131">
        <v>8.35</v>
      </c>
      <c r="W53" s="131">
        <v>8.31</v>
      </c>
      <c r="X53" s="25"/>
      <c r="Y53" s="25"/>
    </row>
    <row r="54" spans="1:25" ht="15.6" x14ac:dyDescent="0.3">
      <c r="A54" s="153" t="s">
        <v>58</v>
      </c>
      <c r="B54" s="154" t="s">
        <v>59</v>
      </c>
      <c r="C54" s="170"/>
      <c r="D54" s="123">
        <f>IF(G54&lt;&gt;0,ROUND(H54/G54,2),0)</f>
        <v>0</v>
      </c>
      <c r="E54" s="194"/>
      <c r="F54" s="156"/>
      <c r="G54" s="157">
        <f>F54+G53</f>
        <v>0</v>
      </c>
      <c r="H54" s="158">
        <f>IF(G54=0,0,MIN(H53+(D53*F54),H53))</f>
        <v>0</v>
      </c>
      <c r="I54" s="111"/>
      <c r="J54" s="111"/>
      <c r="K54" s="157"/>
      <c r="L54" s="111"/>
      <c r="M54" s="159"/>
      <c r="N54" s="111"/>
      <c r="O54" s="123">
        <f>-F54*E54</f>
        <v>0</v>
      </c>
      <c r="P54" s="124">
        <f>-F54*(E54-D53)</f>
        <v>0</v>
      </c>
      <c r="Q54" s="117"/>
      <c r="R54" s="25"/>
      <c r="S54" s="25"/>
      <c r="T54" s="25"/>
      <c r="U54" s="25"/>
      <c r="V54" s="131"/>
      <c r="W54" s="131"/>
      <c r="X54" s="25"/>
      <c r="Y54" s="25"/>
    </row>
    <row r="55" spans="1:25" ht="16.2" thickBot="1" x14ac:dyDescent="0.35">
      <c r="A55" s="144" t="s">
        <v>58</v>
      </c>
      <c r="B55" s="145" t="s">
        <v>60</v>
      </c>
      <c r="C55" s="172"/>
      <c r="D55" s="161"/>
      <c r="E55" s="162"/>
      <c r="F55" s="162"/>
      <c r="G55" s="149"/>
      <c r="H55" s="163"/>
      <c r="I55" s="162">
        <f>I49</f>
        <v>0</v>
      </c>
      <c r="J55" s="195"/>
      <c r="K55" s="164"/>
      <c r="L55" s="149">
        <f>K55+L49</f>
        <v>0</v>
      </c>
      <c r="M55" s="163">
        <f>IF(K55&lt;&gt;0,MAX(0,M49+(I55*K55)),M49)</f>
        <v>0</v>
      </c>
      <c r="N55" s="148"/>
      <c r="O55" s="151">
        <f>-K55*J55</f>
        <v>0</v>
      </c>
      <c r="P55" s="152">
        <f>-K55*(J55-I49)</f>
        <v>0</v>
      </c>
      <c r="Q55" s="110"/>
      <c r="R55" s="25"/>
      <c r="S55" s="25"/>
      <c r="T55" s="25"/>
      <c r="U55" s="25"/>
      <c r="V55" s="131"/>
      <c r="W55" s="131"/>
      <c r="X55" s="25"/>
      <c r="Y55" s="25"/>
    </row>
    <row r="56" spans="1:25" ht="18.75" customHeight="1" x14ac:dyDescent="0.3">
      <c r="A56" s="196" t="s">
        <v>62</v>
      </c>
      <c r="B56" s="197"/>
      <c r="C56" s="198"/>
      <c r="D56" s="199"/>
      <c r="E56" s="200" t="s">
        <v>17</v>
      </c>
      <c r="F56" s="201"/>
      <c r="G56" s="202"/>
      <c r="H56" s="203"/>
      <c r="I56" s="199"/>
      <c r="J56" s="201" t="s">
        <v>18</v>
      </c>
      <c r="K56" s="204"/>
      <c r="L56" s="202"/>
      <c r="M56" s="203"/>
      <c r="N56" s="111"/>
      <c r="O56" s="211" t="s">
        <v>31</v>
      </c>
      <c r="P56" s="212" t="s">
        <v>224</v>
      </c>
      <c r="Q56" s="110"/>
      <c r="R56" s="25"/>
      <c r="S56" s="25"/>
      <c r="T56" s="25"/>
      <c r="U56" s="25"/>
      <c r="V56" s="25"/>
      <c r="W56" s="25"/>
      <c r="X56" s="25"/>
      <c r="Y56" s="25"/>
    </row>
    <row r="57" spans="1:25" ht="30.75" customHeight="1" thickBot="1" x14ac:dyDescent="0.35">
      <c r="A57" s="205" t="s">
        <v>224</v>
      </c>
      <c r="B57" s="206" t="s">
        <v>122</v>
      </c>
      <c r="C57" s="207" t="s">
        <v>116</v>
      </c>
      <c r="D57" s="208" t="s">
        <v>61</v>
      </c>
      <c r="E57" s="209" t="s">
        <v>123</v>
      </c>
      <c r="F57" s="209" t="s">
        <v>25</v>
      </c>
      <c r="G57" s="209" t="s">
        <v>108</v>
      </c>
      <c r="H57" s="210" t="s">
        <v>109</v>
      </c>
      <c r="I57" s="208" t="s">
        <v>61</v>
      </c>
      <c r="J57" s="209" t="s">
        <v>123</v>
      </c>
      <c r="K57" s="209" t="s">
        <v>25</v>
      </c>
      <c r="L57" s="209" t="s">
        <v>108</v>
      </c>
      <c r="M57" s="210" t="s">
        <v>109</v>
      </c>
      <c r="N57" s="112"/>
      <c r="O57" s="213" t="s">
        <v>34</v>
      </c>
      <c r="P57" s="214" t="s">
        <v>33</v>
      </c>
      <c r="Q57" s="110"/>
      <c r="R57" s="25"/>
      <c r="S57" s="25"/>
      <c r="T57" s="25"/>
      <c r="U57" s="25"/>
      <c r="V57" s="25"/>
      <c r="W57" s="25"/>
      <c r="X57" s="25"/>
      <c r="Y57" s="25"/>
    </row>
    <row r="58" spans="1:25" ht="31.2" x14ac:dyDescent="0.3">
      <c r="A58" s="113"/>
      <c r="B58" s="114" t="s">
        <v>19</v>
      </c>
      <c r="C58" s="168">
        <v>40648</v>
      </c>
      <c r="D58" s="116">
        <f>IF(G58&lt;&gt;0,ROUND(H58/G58,2),0)</f>
        <v>0</v>
      </c>
      <c r="E58" s="121">
        <v>8.31</v>
      </c>
      <c r="F58" s="126"/>
      <c r="G58" s="122">
        <f>F58+G54</f>
        <v>0</v>
      </c>
      <c r="H58" s="127">
        <f>IF(F58&lt;&gt;0,H54+(D54*F58),H54)</f>
        <v>0</v>
      </c>
      <c r="I58" s="120"/>
      <c r="J58" s="121"/>
      <c r="K58" s="122"/>
      <c r="L58" s="122"/>
      <c r="M58" s="127"/>
      <c r="N58" s="25"/>
      <c r="O58" s="120">
        <f>-F58*E58</f>
        <v>0</v>
      </c>
      <c r="P58" s="130">
        <f>-F58*(E58-D54)</f>
        <v>0</v>
      </c>
      <c r="Q58" s="110"/>
      <c r="R58" s="25"/>
      <c r="S58" s="25"/>
      <c r="T58" s="25"/>
      <c r="U58" s="25"/>
      <c r="V58" s="131">
        <v>8.35</v>
      </c>
      <c r="W58" s="131">
        <v>8.31</v>
      </c>
      <c r="X58" s="25"/>
      <c r="Y58" s="25"/>
    </row>
    <row r="59" spans="1:25" ht="31.2" x14ac:dyDescent="0.3">
      <c r="A59" s="113"/>
      <c r="B59" s="114" t="s">
        <v>225</v>
      </c>
      <c r="C59" s="168">
        <v>40674</v>
      </c>
      <c r="D59" s="120"/>
      <c r="E59" s="121"/>
      <c r="F59" s="121"/>
      <c r="G59" s="122"/>
      <c r="H59" s="129"/>
      <c r="I59" s="120">
        <f>IF(L59&lt;&gt;0,ROUND(M59/L59,2),0)</f>
        <v>0</v>
      </c>
      <c r="J59" s="132">
        <v>8.35</v>
      </c>
      <c r="K59" s="126"/>
      <c r="L59" s="122">
        <f>K59+L55</f>
        <v>0</v>
      </c>
      <c r="M59" s="127">
        <f>IF(K59&lt;&gt;0,M55+(J59*K59),M55)</f>
        <v>0</v>
      </c>
      <c r="N59" s="25"/>
      <c r="O59" s="120"/>
      <c r="P59" s="130"/>
      <c r="Q59" s="110"/>
      <c r="R59" s="25"/>
      <c r="S59" s="25"/>
      <c r="T59" s="25"/>
      <c r="U59" s="25"/>
      <c r="V59" s="131"/>
      <c r="W59" s="131"/>
      <c r="X59" s="25"/>
      <c r="Y59" s="25"/>
    </row>
    <row r="60" spans="1:25" ht="15.6" x14ac:dyDescent="0.3">
      <c r="A60" s="169"/>
      <c r="B60" s="142" t="s">
        <v>99</v>
      </c>
      <c r="C60" s="168">
        <v>40704</v>
      </c>
      <c r="D60" s="120">
        <f>D58</f>
        <v>0</v>
      </c>
      <c r="E60" s="121">
        <f>D60</f>
        <v>0</v>
      </c>
      <c r="F60" s="126"/>
      <c r="G60" s="122">
        <f>F60+G58</f>
        <v>0</v>
      </c>
      <c r="H60" s="127">
        <f>IF(F60&lt;&gt;0,H58+(D60*F60),H58)</f>
        <v>0</v>
      </c>
      <c r="I60" s="120"/>
      <c r="J60" s="121"/>
      <c r="K60" s="122"/>
      <c r="L60" s="122"/>
      <c r="M60" s="127"/>
      <c r="N60" s="112"/>
      <c r="O60" s="120">
        <f>IF(B60="Transfer to spouse (no CGT)",0,-F60*E60)</f>
        <v>0</v>
      </c>
      <c r="P60" s="130">
        <f>IF(B60="Transfer to spouse (no CGT)",0,-F60*(E60-D58))</f>
        <v>0</v>
      </c>
      <c r="Q60" s="110"/>
      <c r="R60" s="25"/>
      <c r="S60" s="25"/>
      <c r="T60" s="25"/>
      <c r="U60" s="25"/>
      <c r="V60" s="131"/>
      <c r="W60" s="131"/>
      <c r="X60" s="25"/>
      <c r="Y60" s="25"/>
    </row>
    <row r="61" spans="1:25" ht="15.6" x14ac:dyDescent="0.3">
      <c r="A61" s="169"/>
      <c r="B61" s="142" t="s">
        <v>99</v>
      </c>
      <c r="C61" s="115">
        <v>40788</v>
      </c>
      <c r="D61" s="120">
        <f>D60</f>
        <v>0</v>
      </c>
      <c r="E61" s="121">
        <f>D61</f>
        <v>0</v>
      </c>
      <c r="F61" s="126"/>
      <c r="G61" s="122">
        <f>F61+G60</f>
        <v>0</v>
      </c>
      <c r="H61" s="127">
        <f>IF(F61&lt;&gt;0,H60+(D61*F61),H60)</f>
        <v>0</v>
      </c>
      <c r="I61" s="120"/>
      <c r="J61" s="121"/>
      <c r="K61" s="122"/>
      <c r="L61" s="122"/>
      <c r="M61" s="127"/>
      <c r="N61" s="112"/>
      <c r="O61" s="120">
        <f>IF(B61="Transfer to spouse (no CGT)",0,-F61*E61)</f>
        <v>0</v>
      </c>
      <c r="P61" s="130">
        <f>IF(B61="Transfer to spouse (no CGT)",0,-F61*(E61-D58))</f>
        <v>0</v>
      </c>
      <c r="Q61" s="110"/>
      <c r="R61" s="25"/>
      <c r="S61" s="25"/>
      <c r="T61" s="25"/>
      <c r="U61" s="25"/>
      <c r="V61" s="131"/>
      <c r="W61" s="131"/>
      <c r="X61" s="25"/>
      <c r="Y61" s="25"/>
    </row>
    <row r="62" spans="1:25" ht="31.2" x14ac:dyDescent="0.3">
      <c r="A62" s="167"/>
      <c r="B62" s="114" t="s">
        <v>117</v>
      </c>
      <c r="C62" s="115">
        <v>40816</v>
      </c>
      <c r="D62" s="116">
        <f>IF(G62&lt;&gt;0,ROUND(H62/G62,2),0)</f>
        <v>0</v>
      </c>
      <c r="E62" s="177"/>
      <c r="F62" s="126"/>
      <c r="G62" s="122">
        <f>F62+G61</f>
        <v>0</v>
      </c>
      <c r="H62" s="127">
        <f>IF(F62&lt;&gt;0,H61+(E62*F62),H61)</f>
        <v>0</v>
      </c>
      <c r="I62" s="120"/>
      <c r="J62" s="121"/>
      <c r="K62" s="122"/>
      <c r="L62" s="122"/>
      <c r="M62" s="127"/>
      <c r="N62" s="25"/>
      <c r="O62" s="120"/>
      <c r="P62" s="130"/>
      <c r="Q62" s="110"/>
      <c r="R62" s="25"/>
      <c r="S62" s="25"/>
      <c r="T62" s="25"/>
      <c r="U62" s="25"/>
      <c r="V62" s="131"/>
      <c r="W62" s="131"/>
      <c r="X62" s="25"/>
      <c r="Y62" s="25"/>
    </row>
    <row r="63" spans="1:25" ht="11.25" customHeight="1" x14ac:dyDescent="0.3">
      <c r="A63" s="25"/>
      <c r="B63" s="114" t="s">
        <v>24</v>
      </c>
      <c r="C63" s="115">
        <v>40816</v>
      </c>
      <c r="D63" s="116">
        <f>D62</f>
        <v>0</v>
      </c>
      <c r="E63" s="121">
        <v>8.7200000000000006</v>
      </c>
      <c r="F63" s="126"/>
      <c r="G63" s="122">
        <f>F63+G62</f>
        <v>0</v>
      </c>
      <c r="H63" s="127">
        <f>IF(F63&lt;&gt;0,H62+(D63*F63),H62)</f>
        <v>0</v>
      </c>
      <c r="I63" s="120"/>
      <c r="J63" s="121"/>
      <c r="K63" s="122"/>
      <c r="L63" s="122"/>
      <c r="M63" s="127"/>
      <c r="N63" s="25"/>
      <c r="O63" s="120">
        <f>-F63*E63</f>
        <v>0</v>
      </c>
      <c r="P63" s="130">
        <f>-F63*(E63-D62)</f>
        <v>0</v>
      </c>
      <c r="Q63" s="110"/>
      <c r="R63" s="25"/>
      <c r="S63" s="25"/>
      <c r="T63" s="25"/>
      <c r="U63" s="25"/>
      <c r="V63" s="131">
        <v>8.76</v>
      </c>
      <c r="W63" s="131">
        <v>8.7200000000000006</v>
      </c>
      <c r="X63" s="25"/>
      <c r="Y63" s="25"/>
    </row>
    <row r="64" spans="1:25" ht="15.6" x14ac:dyDescent="0.3">
      <c r="A64" s="167"/>
      <c r="B64" s="142" t="s">
        <v>99</v>
      </c>
      <c r="C64" s="115">
        <v>40886</v>
      </c>
      <c r="D64" s="116">
        <f>D63</f>
        <v>0</v>
      </c>
      <c r="E64" s="177">
        <f>D63</f>
        <v>0</v>
      </c>
      <c r="F64" s="126"/>
      <c r="G64" s="122">
        <f>F64+G63</f>
        <v>0</v>
      </c>
      <c r="H64" s="127">
        <f>IF(F64&lt;&gt;0,H63+(D64*F64),H63)</f>
        <v>0</v>
      </c>
      <c r="I64" s="120"/>
      <c r="J64" s="121"/>
      <c r="K64" s="122"/>
      <c r="L64" s="122"/>
      <c r="M64" s="127"/>
      <c r="N64" s="112"/>
      <c r="O64" s="120">
        <f>IF(B64="Transfer to spouse (no CGT)",0,-F64*E64)</f>
        <v>0</v>
      </c>
      <c r="P64" s="130">
        <f>IF(B64="Transfer to spouse (no CGT)",0,-F64*(E64-D63))</f>
        <v>0</v>
      </c>
      <c r="Q64" s="110"/>
      <c r="R64" s="25"/>
      <c r="S64" s="25"/>
      <c r="T64" s="25"/>
      <c r="U64" s="25"/>
      <c r="V64" s="131"/>
      <c r="W64" s="131"/>
      <c r="X64" s="25"/>
      <c r="Y64" s="25"/>
    </row>
    <row r="65" spans="1:25" ht="31.2" x14ac:dyDescent="0.3">
      <c r="A65" s="25"/>
      <c r="B65" s="114" t="s">
        <v>226</v>
      </c>
      <c r="C65" s="115">
        <v>40969</v>
      </c>
      <c r="D65" s="116">
        <f>IF(G65&lt;&gt;0,ROUND(H65/G65,2),0)</f>
        <v>0</v>
      </c>
      <c r="E65" s="177" t="str">
        <f>IF(K65&lt;0,J65,"")</f>
        <v/>
      </c>
      <c r="F65" s="143" t="str">
        <f>IF(K65&lt;0,-K65,"")</f>
        <v/>
      </c>
      <c r="G65" s="122">
        <f>IF(F65="",G64,F65+G64)</f>
        <v>0</v>
      </c>
      <c r="H65" s="127">
        <f>IF(F65="",H64,H64+(E65*F65))</f>
        <v>0</v>
      </c>
      <c r="I65" s="120">
        <f>IF(L65&lt;&gt;0,ROUND(M65/L65,2),0)</f>
        <v>0</v>
      </c>
      <c r="J65" s="121">
        <f>I59</f>
        <v>0</v>
      </c>
      <c r="K65" s="126"/>
      <c r="L65" s="122">
        <f>K65+L59</f>
        <v>0</v>
      </c>
      <c r="M65" s="127">
        <f>IF(K65&lt;&gt;0,M59+(J65*K65),M59)</f>
        <v>0</v>
      </c>
      <c r="N65" s="112"/>
      <c r="O65" s="120"/>
      <c r="P65" s="130"/>
      <c r="Q65" s="110"/>
      <c r="R65" s="25"/>
      <c r="S65" s="25"/>
      <c r="T65" s="25"/>
      <c r="U65" s="25"/>
      <c r="V65" s="131"/>
      <c r="W65" s="131"/>
      <c r="X65" s="25"/>
      <c r="Y65" s="25"/>
    </row>
    <row r="66" spans="1:25" ht="15.6" x14ac:dyDescent="0.3">
      <c r="A66" s="113"/>
      <c r="B66" s="142" t="s">
        <v>99</v>
      </c>
      <c r="C66" s="115">
        <v>40970</v>
      </c>
      <c r="D66" s="116">
        <f>D65</f>
        <v>0</v>
      </c>
      <c r="E66" s="177">
        <f>D65</f>
        <v>0</v>
      </c>
      <c r="F66" s="126"/>
      <c r="G66" s="122">
        <f>F66+G65</f>
        <v>0</v>
      </c>
      <c r="H66" s="127">
        <f>IF(F66&lt;&gt;0,H65+(D66*F66),H65)</f>
        <v>0</v>
      </c>
      <c r="I66" s="112"/>
      <c r="J66" s="112"/>
      <c r="K66" s="122"/>
      <c r="L66" s="122"/>
      <c r="M66" s="129"/>
      <c r="N66" s="112"/>
      <c r="O66" s="120">
        <f>IF(B66="Transfer to spouse (no CGT)",0,-F66*E66)</f>
        <v>0</v>
      </c>
      <c r="P66" s="130">
        <f>IF(B66="Transfer to spouse (no CGT)",0,-F66*(E66-D63))</f>
        <v>0</v>
      </c>
      <c r="Q66" s="110"/>
      <c r="R66" s="25"/>
      <c r="S66" s="25"/>
      <c r="T66" s="25"/>
      <c r="U66" s="25"/>
      <c r="V66" s="131"/>
      <c r="W66" s="131"/>
      <c r="X66" s="25"/>
      <c r="Y66" s="25"/>
    </row>
    <row r="67" spans="1:25" ht="15.6" x14ac:dyDescent="0.3">
      <c r="A67" s="167"/>
      <c r="B67" s="114" t="s">
        <v>24</v>
      </c>
      <c r="C67" s="115">
        <v>40998</v>
      </c>
      <c r="D67" s="116">
        <f>D66</f>
        <v>0</v>
      </c>
      <c r="E67" s="177">
        <v>9.33</v>
      </c>
      <c r="F67" s="126"/>
      <c r="G67" s="122">
        <f>F67+G66</f>
        <v>0</v>
      </c>
      <c r="H67" s="127">
        <f>IF(F67&lt;&gt;0,H66+(D67*F67),H66)</f>
        <v>0</v>
      </c>
      <c r="I67" s="128"/>
      <c r="J67" s="112"/>
      <c r="K67" s="122"/>
      <c r="L67" s="122"/>
      <c r="M67" s="129"/>
      <c r="N67" s="112"/>
      <c r="O67" s="120">
        <f>-F67*E67</f>
        <v>0</v>
      </c>
      <c r="P67" s="130">
        <f>-F67*(E67-D65)</f>
        <v>0</v>
      </c>
      <c r="Q67" s="110"/>
      <c r="R67" s="25"/>
      <c r="S67" s="25"/>
      <c r="T67" s="25"/>
      <c r="U67" s="25"/>
      <c r="V67" s="131">
        <v>9.3699999999999992</v>
      </c>
      <c r="W67" s="131">
        <v>9.33</v>
      </c>
      <c r="X67" s="25"/>
      <c r="Y67" s="25"/>
    </row>
    <row r="68" spans="1:25" ht="31.2" x14ac:dyDescent="0.3">
      <c r="A68" s="167"/>
      <c r="B68" s="114" t="s">
        <v>119</v>
      </c>
      <c r="C68" s="115">
        <v>40998</v>
      </c>
      <c r="D68" s="116">
        <f>IF(G68&lt;&gt;0,ROUND(H68/G68,2),0)</f>
        <v>0</v>
      </c>
      <c r="E68" s="177">
        <v>0</v>
      </c>
      <c r="F68" s="126"/>
      <c r="G68" s="122">
        <f>F68+G67</f>
        <v>0</v>
      </c>
      <c r="H68" s="127">
        <f>IF(F68&lt;&gt;0,H67+(E68*F68),H67)</f>
        <v>0</v>
      </c>
      <c r="I68" s="128"/>
      <c r="J68" s="112"/>
      <c r="K68" s="122"/>
      <c r="L68" s="122"/>
      <c r="M68" s="129"/>
      <c r="N68" s="112"/>
      <c r="O68" s="120"/>
      <c r="P68" s="130"/>
      <c r="Q68" s="110"/>
      <c r="R68" s="25"/>
      <c r="S68" s="25"/>
      <c r="T68" s="25"/>
      <c r="U68" s="25"/>
      <c r="V68" s="131"/>
      <c r="W68" s="131"/>
      <c r="X68" s="25"/>
      <c r="Y68" s="25"/>
    </row>
    <row r="69" spans="1:25" ht="16.2" thickBot="1" x14ac:dyDescent="0.35">
      <c r="A69" s="113"/>
      <c r="B69" s="114" t="s">
        <v>30</v>
      </c>
      <c r="C69" s="115">
        <v>40998</v>
      </c>
      <c r="D69" s="116">
        <f>IF(G69&lt;&gt;0,ROUND(H69/G69,2),0)</f>
        <v>0</v>
      </c>
      <c r="E69" s="177">
        <v>9.3699999999999992</v>
      </c>
      <c r="F69" s="126"/>
      <c r="G69" s="122">
        <f>F69+G68</f>
        <v>0</v>
      </c>
      <c r="H69" s="127">
        <f>IF(F69&lt;&gt;0,H68+(E69*F69),H68)</f>
        <v>0</v>
      </c>
      <c r="I69" s="128"/>
      <c r="J69" s="112"/>
      <c r="K69" s="122"/>
      <c r="L69" s="112"/>
      <c r="M69" s="129"/>
      <c r="N69" s="112"/>
      <c r="O69" s="120"/>
      <c r="P69" s="130"/>
      <c r="Q69" s="110"/>
      <c r="R69" s="25"/>
      <c r="S69" s="25"/>
      <c r="T69" s="25"/>
      <c r="U69" s="25"/>
      <c r="V69" s="131">
        <v>9.3699999999999992</v>
      </c>
      <c r="W69" s="131">
        <v>9.33</v>
      </c>
      <c r="X69" s="25"/>
      <c r="Y69" s="25"/>
    </row>
    <row r="70" spans="1:25" ht="15.6" x14ac:dyDescent="0.3">
      <c r="A70" s="153" t="s">
        <v>58</v>
      </c>
      <c r="B70" s="154" t="s">
        <v>59</v>
      </c>
      <c r="C70" s="170"/>
      <c r="D70" s="123">
        <f>IF(G70&lt;&gt;0,ROUND(H70/G70,2),0)</f>
        <v>0</v>
      </c>
      <c r="E70" s="194"/>
      <c r="F70" s="156"/>
      <c r="G70" s="157">
        <f>F70+G69</f>
        <v>0</v>
      </c>
      <c r="H70" s="158">
        <f>IF(G70=0,0,MIN(H69+(D69*F70),H69))</f>
        <v>0</v>
      </c>
      <c r="I70" s="171"/>
      <c r="J70" s="111"/>
      <c r="K70" s="157"/>
      <c r="L70" s="111"/>
      <c r="M70" s="159"/>
      <c r="N70" s="111"/>
      <c r="O70" s="123">
        <f>-F70*E70</f>
        <v>0</v>
      </c>
      <c r="P70" s="124">
        <f>-F70*(E70-D69)</f>
        <v>0</v>
      </c>
      <c r="Q70" s="117"/>
      <c r="R70" s="25"/>
      <c r="S70" s="25"/>
      <c r="T70" s="25"/>
      <c r="U70" s="25"/>
      <c r="V70" s="131"/>
      <c r="W70" s="131"/>
      <c r="X70" s="25"/>
      <c r="Y70" s="25"/>
    </row>
    <row r="71" spans="1:25" ht="16.2" thickBot="1" x14ac:dyDescent="0.35">
      <c r="A71" s="144" t="s">
        <v>58</v>
      </c>
      <c r="B71" s="145" t="s">
        <v>60</v>
      </c>
      <c r="C71" s="172"/>
      <c r="D71" s="161"/>
      <c r="E71" s="162"/>
      <c r="F71" s="162"/>
      <c r="G71" s="149"/>
      <c r="H71" s="163"/>
      <c r="I71" s="151">
        <f>I65</f>
        <v>0</v>
      </c>
      <c r="J71" s="195"/>
      <c r="K71" s="164"/>
      <c r="L71" s="149">
        <f>K71+L65</f>
        <v>0</v>
      </c>
      <c r="M71" s="163">
        <f>IF(K71&lt;&gt;0,MAX(0,M65+(I71*K71)),M65)</f>
        <v>0</v>
      </c>
      <c r="N71" s="148"/>
      <c r="O71" s="151">
        <f>-K71*J71</f>
        <v>0</v>
      </c>
      <c r="P71" s="152">
        <f>-K71*(J71-I65)</f>
        <v>0</v>
      </c>
      <c r="Q71" s="110"/>
      <c r="R71" s="25"/>
      <c r="S71" s="25"/>
      <c r="T71" s="25"/>
      <c r="U71" s="25"/>
      <c r="V71" s="131"/>
      <c r="W71" s="131"/>
      <c r="X71" s="25"/>
      <c r="Y71" s="25"/>
    </row>
    <row r="72" spans="1:25" ht="18.75" customHeight="1" x14ac:dyDescent="0.3">
      <c r="A72" s="196" t="s">
        <v>62</v>
      </c>
      <c r="B72" s="197"/>
      <c r="C72" s="198"/>
      <c r="D72" s="199"/>
      <c r="E72" s="200" t="s">
        <v>17</v>
      </c>
      <c r="F72" s="201"/>
      <c r="G72" s="202"/>
      <c r="H72" s="203"/>
      <c r="I72" s="199"/>
      <c r="J72" s="201" t="s">
        <v>18</v>
      </c>
      <c r="K72" s="204"/>
      <c r="L72" s="202"/>
      <c r="M72" s="203"/>
      <c r="N72" s="111"/>
      <c r="O72" s="211" t="s">
        <v>31</v>
      </c>
      <c r="P72" s="212" t="s">
        <v>250</v>
      </c>
      <c r="Q72" s="110"/>
      <c r="R72" s="25"/>
      <c r="S72" s="25"/>
      <c r="T72" s="25"/>
      <c r="U72" s="25"/>
      <c r="V72" s="25"/>
      <c r="W72" s="25"/>
      <c r="X72" s="25"/>
      <c r="Y72" s="25"/>
    </row>
    <row r="73" spans="1:25" ht="30.75" customHeight="1" thickBot="1" x14ac:dyDescent="0.35">
      <c r="A73" s="205" t="s">
        <v>250</v>
      </c>
      <c r="B73" s="206" t="s">
        <v>122</v>
      </c>
      <c r="C73" s="207" t="s">
        <v>116</v>
      </c>
      <c r="D73" s="208" t="s">
        <v>61</v>
      </c>
      <c r="E73" s="209" t="s">
        <v>123</v>
      </c>
      <c r="F73" s="209" t="s">
        <v>25</v>
      </c>
      <c r="G73" s="209" t="s">
        <v>108</v>
      </c>
      <c r="H73" s="210" t="s">
        <v>109</v>
      </c>
      <c r="I73" s="208" t="s">
        <v>61</v>
      </c>
      <c r="J73" s="209" t="s">
        <v>123</v>
      </c>
      <c r="K73" s="209" t="s">
        <v>25</v>
      </c>
      <c r="L73" s="209" t="s">
        <v>108</v>
      </c>
      <c r="M73" s="210" t="s">
        <v>109</v>
      </c>
      <c r="N73" s="112"/>
      <c r="O73" s="213" t="s">
        <v>34</v>
      </c>
      <c r="P73" s="214" t="s">
        <v>33</v>
      </c>
      <c r="Q73" s="110"/>
      <c r="R73" s="25"/>
      <c r="S73" s="25"/>
      <c r="T73" s="25"/>
      <c r="U73" s="25"/>
      <c r="V73" s="25"/>
      <c r="W73" s="25"/>
      <c r="X73" s="25"/>
      <c r="Y73" s="25"/>
    </row>
    <row r="74" spans="1:25" ht="31.2" x14ac:dyDescent="0.3">
      <c r="A74" s="178"/>
      <c r="B74" s="114" t="s">
        <v>19</v>
      </c>
      <c r="C74" s="115">
        <v>41016</v>
      </c>
      <c r="D74" s="116">
        <f>IF(G74&lt;&gt;0,ROUND(H74/G74,2),0)</f>
        <v>0</v>
      </c>
      <c r="E74" s="121">
        <v>9.33</v>
      </c>
      <c r="F74" s="126"/>
      <c r="G74" s="122">
        <f>F74+G70</f>
        <v>0</v>
      </c>
      <c r="H74" s="127">
        <f>IF(F74&lt;&gt;0,H70+(D70*F74),H70)</f>
        <v>0</v>
      </c>
      <c r="I74" s="120"/>
      <c r="J74" s="121"/>
      <c r="K74" s="122"/>
      <c r="L74" s="122"/>
      <c r="M74" s="127"/>
      <c r="N74" s="25"/>
      <c r="O74" s="120">
        <f>-F74*E74</f>
        <v>0</v>
      </c>
      <c r="P74" s="130">
        <f>-F74*(E74-D70)</f>
        <v>0</v>
      </c>
      <c r="Q74" s="110"/>
      <c r="R74" s="25"/>
      <c r="S74" s="25"/>
      <c r="T74" s="25"/>
      <c r="U74" s="25"/>
      <c r="V74" s="131">
        <v>9.3699999999999992</v>
      </c>
      <c r="W74" s="131">
        <v>9.33</v>
      </c>
      <c r="X74" s="25"/>
      <c r="Y74" s="25"/>
    </row>
    <row r="75" spans="1:25" ht="31.2" x14ac:dyDescent="0.3">
      <c r="A75" s="178"/>
      <c r="B75" s="114" t="s">
        <v>251</v>
      </c>
      <c r="C75" s="115">
        <v>41040</v>
      </c>
      <c r="D75" s="120"/>
      <c r="E75" s="121"/>
      <c r="F75" s="121"/>
      <c r="G75" s="122"/>
      <c r="H75" s="129"/>
      <c r="I75" s="120">
        <f>IF(L75&lt;&gt;0,ROUND(M75/L75,2),0)</f>
        <v>0</v>
      </c>
      <c r="J75" s="132">
        <v>9.3699999999999992</v>
      </c>
      <c r="K75" s="126"/>
      <c r="L75" s="122">
        <f>K75+L71</f>
        <v>0</v>
      </c>
      <c r="M75" s="127">
        <f>IF(K75&lt;&gt;0,M71+(J75*K75),M71)</f>
        <v>0</v>
      </c>
      <c r="N75" s="25"/>
      <c r="O75" s="120"/>
      <c r="P75" s="130"/>
      <c r="Q75" s="110"/>
      <c r="R75" s="25"/>
      <c r="S75" s="25"/>
      <c r="T75" s="25"/>
      <c r="U75" s="25"/>
      <c r="V75" s="131"/>
      <c r="W75" s="131"/>
      <c r="X75" s="25"/>
      <c r="Y75" s="25"/>
    </row>
    <row r="76" spans="1:25" ht="15.6" x14ac:dyDescent="0.3">
      <c r="A76" s="178"/>
      <c r="B76" s="142" t="s">
        <v>99</v>
      </c>
      <c r="C76" s="115">
        <v>41068</v>
      </c>
      <c r="D76" s="120">
        <f>D74</f>
        <v>0</v>
      </c>
      <c r="E76" s="121">
        <f>D76</f>
        <v>0</v>
      </c>
      <c r="F76" s="126"/>
      <c r="G76" s="122">
        <f>F76+G74</f>
        <v>0</v>
      </c>
      <c r="H76" s="127">
        <f>IF(F76&lt;&gt;0,H74+(D76*F76),H74)</f>
        <v>0</v>
      </c>
      <c r="I76" s="120"/>
      <c r="J76" s="121"/>
      <c r="K76" s="122"/>
      <c r="L76" s="122"/>
      <c r="M76" s="127"/>
      <c r="N76" s="112"/>
      <c r="O76" s="120">
        <f>IF(B76="Transfer to spouse (no CGT)",0,-F76*E76)</f>
        <v>0</v>
      </c>
      <c r="P76" s="130">
        <f>IF(B76="Transfer to spouse (no CGT)",0,-F76*(E76-D74))</f>
        <v>0</v>
      </c>
      <c r="Q76" s="110"/>
      <c r="R76" s="25"/>
      <c r="S76" s="25"/>
      <c r="T76" s="25"/>
      <c r="U76" s="25"/>
      <c r="V76" s="131"/>
      <c r="W76" s="131"/>
      <c r="X76" s="25"/>
      <c r="Y76" s="25"/>
    </row>
    <row r="77" spans="1:25" ht="15.6" x14ac:dyDescent="0.3">
      <c r="A77" s="178"/>
      <c r="B77" s="142" t="s">
        <v>99</v>
      </c>
      <c r="C77" s="115">
        <v>41159</v>
      </c>
      <c r="D77" s="120">
        <f>D76</f>
        <v>0</v>
      </c>
      <c r="E77" s="121">
        <f>D77</f>
        <v>0</v>
      </c>
      <c r="F77" s="126"/>
      <c r="G77" s="122">
        <f>F77+G76</f>
        <v>0</v>
      </c>
      <c r="H77" s="127">
        <f>IF(F77&lt;&gt;0,H76+(D77*F77),H76)</f>
        <v>0</v>
      </c>
      <c r="I77" s="120"/>
      <c r="J77" s="121"/>
      <c r="K77" s="122"/>
      <c r="L77" s="122"/>
      <c r="M77" s="127"/>
      <c r="N77" s="112"/>
      <c r="O77" s="120">
        <f>IF(B77="Transfer to spouse (no CGT)",0,-F77*E77)</f>
        <v>0</v>
      </c>
      <c r="P77" s="130">
        <f>IF(B77="Transfer to spouse (no CGT)",0,-F77*(E77-D74))</f>
        <v>0</v>
      </c>
      <c r="Q77" s="110"/>
      <c r="R77" s="25"/>
      <c r="S77" s="25"/>
      <c r="T77" s="25"/>
      <c r="U77" s="25"/>
      <c r="V77" s="131"/>
      <c r="W77" s="131"/>
      <c r="X77" s="25"/>
      <c r="Y77" s="25"/>
    </row>
    <row r="78" spans="1:25" ht="31.2" x14ac:dyDescent="0.3">
      <c r="A78" s="178"/>
      <c r="B78" s="114" t="s">
        <v>117</v>
      </c>
      <c r="C78" s="179">
        <v>41186</v>
      </c>
      <c r="D78" s="116">
        <f>IF(G78&lt;&gt;0,ROUND(H78/G78,2),0)</f>
        <v>0</v>
      </c>
      <c r="E78" s="177"/>
      <c r="F78" s="126"/>
      <c r="G78" s="122">
        <f>F78+G77</f>
        <v>0</v>
      </c>
      <c r="H78" s="127">
        <f>IF(F78&lt;&gt;0,H77+(E78*F78),H77)</f>
        <v>0</v>
      </c>
      <c r="I78" s="120"/>
      <c r="J78" s="121"/>
      <c r="K78" s="122"/>
      <c r="L78" s="122"/>
      <c r="M78" s="127"/>
      <c r="N78" s="25"/>
      <c r="O78" s="120"/>
      <c r="P78" s="130"/>
      <c r="Q78" s="110"/>
      <c r="R78" s="25"/>
      <c r="S78" s="25"/>
      <c r="T78" s="25"/>
      <c r="U78" s="25"/>
      <c r="V78" s="131"/>
      <c r="W78" s="131"/>
      <c r="X78" s="25"/>
      <c r="Y78" s="25"/>
    </row>
    <row r="79" spans="1:25" ht="16.5" customHeight="1" thickBot="1" x14ac:dyDescent="0.35">
      <c r="A79" s="178"/>
      <c r="B79" s="114" t="s">
        <v>24</v>
      </c>
      <c r="C79" s="179">
        <v>41186</v>
      </c>
      <c r="D79" s="116">
        <f>D78</f>
        <v>0</v>
      </c>
      <c r="E79" s="121">
        <v>9.76</v>
      </c>
      <c r="F79" s="126"/>
      <c r="G79" s="122">
        <f>F79+G78</f>
        <v>0</v>
      </c>
      <c r="H79" s="127">
        <f>IF(F79&lt;&gt;0,H78+(D79*F79),H78)</f>
        <v>0</v>
      </c>
      <c r="I79" s="120"/>
      <c r="J79" s="121"/>
      <c r="K79" s="122"/>
      <c r="L79" s="122"/>
      <c r="M79" s="127"/>
      <c r="N79" s="25"/>
      <c r="O79" s="120">
        <f>-F79*E79</f>
        <v>0</v>
      </c>
      <c r="P79" s="130">
        <f>-F79*(E79-D81)</f>
        <v>0</v>
      </c>
      <c r="Q79" s="110"/>
      <c r="R79" s="25"/>
      <c r="S79" s="25"/>
      <c r="T79" s="25"/>
      <c r="U79" s="110"/>
      <c r="V79" s="180">
        <v>9.81</v>
      </c>
      <c r="W79" s="180">
        <v>9.76</v>
      </c>
      <c r="X79" s="110"/>
      <c r="Y79" s="25"/>
    </row>
    <row r="80" spans="1:25" ht="15.6" x14ac:dyDescent="0.3">
      <c r="A80" s="178"/>
      <c r="B80" s="142" t="s">
        <v>99</v>
      </c>
      <c r="C80" s="125">
        <v>41190</v>
      </c>
      <c r="D80" s="120">
        <f>D79</f>
        <v>0</v>
      </c>
      <c r="E80" s="121">
        <f>D79</f>
        <v>0</v>
      </c>
      <c r="F80" s="126"/>
      <c r="G80" s="122">
        <f>F80+G79</f>
        <v>0</v>
      </c>
      <c r="H80" s="127">
        <f>IF(F80&lt;&gt;0,H79+(D80*F80),H79)</f>
        <v>0</v>
      </c>
      <c r="I80" s="120"/>
      <c r="J80" s="121"/>
      <c r="K80" s="122"/>
      <c r="L80" s="122"/>
      <c r="M80" s="127"/>
      <c r="N80" s="112"/>
      <c r="O80" s="120">
        <f>IF(B80="Transfer to spouse (no CGT)",0,-F80*E80)</f>
        <v>0</v>
      </c>
      <c r="P80" s="130">
        <f>IF(B80="Transfer to spouse (no CGT)",0,-F80*(E80-D81))</f>
        <v>0</v>
      </c>
      <c r="Q80" s="110"/>
      <c r="R80" s="228" t="s">
        <v>280</v>
      </c>
      <c r="S80" s="229"/>
      <c r="T80" s="230"/>
      <c r="U80" s="25"/>
      <c r="V80" s="115">
        <v>41190</v>
      </c>
      <c r="W80" s="115">
        <v>41240</v>
      </c>
      <c r="X80" s="25"/>
      <c r="Y80" s="25"/>
    </row>
    <row r="81" spans="1:25" ht="31.2" x14ac:dyDescent="0.3">
      <c r="A81" s="178"/>
      <c r="B81" s="114" t="s">
        <v>117</v>
      </c>
      <c r="C81" s="179">
        <v>41246</v>
      </c>
      <c r="D81" s="116">
        <f>IF(G81&lt;&gt;0,ROUND(H81/G81,2),0)</f>
        <v>0</v>
      </c>
      <c r="E81" s="177">
        <v>0</v>
      </c>
      <c r="F81" s="126"/>
      <c r="G81" s="122">
        <f>F81+G80</f>
        <v>0</v>
      </c>
      <c r="H81" s="127">
        <f>IF(F81&lt;&gt;0,H80+(E81*F81),H80)</f>
        <v>0</v>
      </c>
      <c r="I81" s="120"/>
      <c r="J81" s="121"/>
      <c r="K81" s="122"/>
      <c r="L81" s="122"/>
      <c r="M81" s="127"/>
      <c r="N81" s="25"/>
      <c r="O81" s="120"/>
      <c r="P81" s="130"/>
      <c r="Q81" s="110"/>
      <c r="R81" s="215" t="s">
        <v>279</v>
      </c>
      <c r="S81" s="216" t="s">
        <v>238</v>
      </c>
      <c r="T81" s="217" t="s">
        <v>236</v>
      </c>
      <c r="U81" s="110"/>
      <c r="V81" s="180"/>
      <c r="W81" s="180"/>
      <c r="X81" s="110"/>
      <c r="Y81" s="25"/>
    </row>
    <row r="82" spans="1:25" s="15" customFormat="1" ht="11.25" customHeight="1" x14ac:dyDescent="0.3">
      <c r="A82" s="181"/>
      <c r="B82" s="182" t="s">
        <v>286</v>
      </c>
      <c r="C82" s="183">
        <v>41250</v>
      </c>
      <c r="D82" s="184">
        <f>IF(G82&lt;&gt;0,ROUND(H82/G82,2),0)</f>
        <v>0</v>
      </c>
      <c r="E82" s="185"/>
      <c r="F82" s="185"/>
      <c r="G82" s="186">
        <f>G81</f>
        <v>0</v>
      </c>
      <c r="H82" s="187">
        <f>H81</f>
        <v>0</v>
      </c>
      <c r="I82" s="184">
        <f>IF(L82&lt;&gt;0,ROUND(M82/L82,2),0)</f>
        <v>0</v>
      </c>
      <c r="J82" s="185"/>
      <c r="K82" s="186"/>
      <c r="L82" s="186">
        <f>L75</f>
        <v>0</v>
      </c>
      <c r="M82" s="187">
        <f>M75</f>
        <v>0</v>
      </c>
      <c r="N82" s="110"/>
      <c r="O82" s="116"/>
      <c r="P82" s="188"/>
      <c r="Q82" s="110"/>
      <c r="R82" s="218">
        <f>G82</f>
        <v>0</v>
      </c>
      <c r="S82" s="219">
        <f>H82-H83</f>
        <v>0</v>
      </c>
      <c r="T82" s="220" t="s">
        <v>234</v>
      </c>
      <c r="U82" s="117"/>
      <c r="V82" s="180"/>
      <c r="W82" s="180"/>
      <c r="X82" s="117"/>
      <c r="Y82" s="44"/>
    </row>
    <row r="83" spans="1:25" s="15" customFormat="1" ht="11.25" customHeight="1" x14ac:dyDescent="0.3">
      <c r="A83" s="178"/>
      <c r="B83" s="189" t="s">
        <v>7</v>
      </c>
      <c r="C83" s="141" t="str">
        <f>IF('Instruction &amp; apportionment'!C25&gt;0,"Per your entry","Calculated when known")</f>
        <v>Calculated when known</v>
      </c>
      <c r="D83" s="116">
        <f>IF(G83&lt;&gt;0,ROUND(H83/G83,2),0)</f>
        <v>0</v>
      </c>
      <c r="E83" s="117"/>
      <c r="F83" s="117"/>
      <c r="G83" s="190">
        <f>G82</f>
        <v>0</v>
      </c>
      <c r="H83" s="191">
        <f>IF('Instruction &amp; apportionment'!C25&gt;0,'s104 holdings'!H82*'Instruction &amp; apportionment'!C25/'Instruction &amp; apportionment'!C26,'s104 holdings'!H82)</f>
        <v>0</v>
      </c>
      <c r="I83" s="116">
        <f>IF(L83&lt;&gt;0,ROUND(M83/L83,2),0)</f>
        <v>0</v>
      </c>
      <c r="J83" s="117"/>
      <c r="K83" s="190"/>
      <c r="L83" s="190">
        <f>L82</f>
        <v>0</v>
      </c>
      <c r="M83" s="191">
        <f>IF('Instruction &amp; apportionment'!C25&gt;0,'Instruction &amp; apportionment'!C25/'Instruction &amp; apportionment'!C26*'s104 holdings'!M82,'s104 holdings'!M82)</f>
        <v>0</v>
      </c>
      <c r="N83" s="110"/>
      <c r="O83" s="116"/>
      <c r="P83" s="188"/>
      <c r="Q83" s="110"/>
      <c r="R83" s="221">
        <f>L82</f>
        <v>0</v>
      </c>
      <c r="S83" s="222">
        <f>M82-M83</f>
        <v>0</v>
      </c>
      <c r="T83" s="220" t="s">
        <v>235</v>
      </c>
      <c r="U83" s="117"/>
      <c r="V83" s="180"/>
      <c r="W83" s="180"/>
      <c r="X83" s="117"/>
      <c r="Y83" s="44"/>
    </row>
    <row r="84" spans="1:25" ht="31.2" x14ac:dyDescent="0.3">
      <c r="A84" s="113"/>
      <c r="B84" s="114" t="s">
        <v>252</v>
      </c>
      <c r="C84" s="115">
        <v>41334</v>
      </c>
      <c r="D84" s="116">
        <f>IF(G84&lt;&gt;0,ROUND(H84/G84,2),0)</f>
        <v>0</v>
      </c>
      <c r="E84" s="177" t="str">
        <f>IF(K84&lt;0,J84,"")</f>
        <v/>
      </c>
      <c r="F84" s="143" t="str">
        <f>IF(K84&lt;0,-K84,"")</f>
        <v/>
      </c>
      <c r="G84" s="122">
        <f>IF(F84="",G83,F84+G83)</f>
        <v>0</v>
      </c>
      <c r="H84" s="127">
        <f>IF(F84="",H83,H83+(E84*F84))</f>
        <v>0</v>
      </c>
      <c r="I84" s="120">
        <f>IF(L84&lt;&gt;0,ROUND(M84/L84,2),0)</f>
        <v>0</v>
      </c>
      <c r="J84" s="121">
        <f>I83</f>
        <v>0</v>
      </c>
      <c r="K84" s="126"/>
      <c r="L84" s="122">
        <f>K84+L83</f>
        <v>0</v>
      </c>
      <c r="M84" s="127">
        <f>IF(K84&lt;&gt;0,M83+(J84*K84),M83)</f>
        <v>0</v>
      </c>
      <c r="N84" s="112"/>
      <c r="O84" s="120"/>
      <c r="P84" s="130"/>
      <c r="Q84" s="110"/>
      <c r="R84" s="218">
        <f>SUM(R82:R83)</f>
        <v>0</v>
      </c>
      <c r="S84" s="219">
        <f>SUM(S82:S83)</f>
        <v>0</v>
      </c>
      <c r="T84" s="220" t="s">
        <v>239</v>
      </c>
      <c r="U84" s="110"/>
      <c r="V84" s="180"/>
      <c r="W84" s="180"/>
      <c r="X84" s="110"/>
      <c r="Y84" s="25"/>
    </row>
    <row r="85" spans="1:25" ht="12.75" customHeight="1" x14ac:dyDescent="0.3">
      <c r="A85" s="113"/>
      <c r="B85" s="142" t="s">
        <v>99</v>
      </c>
      <c r="C85" s="115">
        <v>41334</v>
      </c>
      <c r="D85" s="116">
        <f>D84</f>
        <v>0</v>
      </c>
      <c r="E85" s="177">
        <f>D84</f>
        <v>0</v>
      </c>
      <c r="F85" s="126"/>
      <c r="G85" s="122">
        <f>F85+G84</f>
        <v>0</v>
      </c>
      <c r="H85" s="127">
        <f>IF(F85&lt;&gt;0,H84+(D85*F85),H84)</f>
        <v>0</v>
      </c>
      <c r="I85" s="112"/>
      <c r="J85" s="112"/>
      <c r="K85" s="122"/>
      <c r="L85" s="122"/>
      <c r="M85" s="129"/>
      <c r="N85" s="112"/>
      <c r="O85" s="120">
        <f>IF(B85="Transfer to spouse (no CGT)",0,-F85*E85)</f>
        <v>0</v>
      </c>
      <c r="P85" s="130">
        <f>IF(B85="Transfer to spouse (no CGT)",0,-F85*(E85-D79))</f>
        <v>0</v>
      </c>
      <c r="Q85" s="110"/>
      <c r="R85" s="223"/>
      <c r="S85" s="224" t="e">
        <f>ROUND(S84/R84,5)</f>
        <v>#DIV/0!</v>
      </c>
      <c r="T85" s="220" t="s">
        <v>281</v>
      </c>
      <c r="U85" s="110"/>
      <c r="V85" s="180"/>
      <c r="W85" s="180"/>
      <c r="X85" s="110"/>
      <c r="Y85" s="25"/>
    </row>
    <row r="86" spans="1:25" ht="16.2" thickBot="1" x14ac:dyDescent="0.35">
      <c r="A86" s="113"/>
      <c r="B86" s="114" t="s">
        <v>24</v>
      </c>
      <c r="C86" s="115">
        <v>41366</v>
      </c>
      <c r="D86" s="116">
        <f>D85</f>
        <v>0</v>
      </c>
      <c r="E86" s="117">
        <v>6.27</v>
      </c>
      <c r="F86" s="126"/>
      <c r="G86" s="122">
        <f>F86+G85</f>
        <v>0</v>
      </c>
      <c r="H86" s="127">
        <f>IF(F86&lt;&gt;0,H85+(D86*F86),H85)</f>
        <v>0</v>
      </c>
      <c r="I86" s="128"/>
      <c r="J86" s="112"/>
      <c r="K86" s="122"/>
      <c r="L86" s="122"/>
      <c r="M86" s="129"/>
      <c r="N86" s="112"/>
      <c r="O86" s="120">
        <f>-F86*E86</f>
        <v>0</v>
      </c>
      <c r="P86" s="130">
        <f>-F86*(E86-D84)</f>
        <v>0</v>
      </c>
      <c r="Q86" s="110"/>
      <c r="R86" s="231"/>
      <c r="S86" s="232"/>
      <c r="T86" s="233"/>
      <c r="U86" s="25"/>
      <c r="V86" s="131"/>
      <c r="W86" s="131"/>
      <c r="X86" s="25"/>
      <c r="Y86" s="25"/>
    </row>
    <row r="87" spans="1:25" ht="31.2" x14ac:dyDescent="0.3">
      <c r="A87" s="113"/>
      <c r="B87" s="114" t="s">
        <v>119</v>
      </c>
      <c r="C87" s="115">
        <v>41366</v>
      </c>
      <c r="D87" s="116">
        <f>IF(G87&lt;&gt;0,ROUND(H87/G87,2),0)</f>
        <v>0</v>
      </c>
      <c r="E87" s="177">
        <v>0</v>
      </c>
      <c r="F87" s="126"/>
      <c r="G87" s="122">
        <f>F87+G86</f>
        <v>0</v>
      </c>
      <c r="H87" s="127">
        <f>IF(F87&lt;&gt;0,H86+(E87*F87),H86)</f>
        <v>0</v>
      </c>
      <c r="I87" s="128"/>
      <c r="J87" s="112"/>
      <c r="K87" s="122"/>
      <c r="L87" s="122"/>
      <c r="M87" s="129"/>
      <c r="N87" s="112"/>
      <c r="O87" s="120"/>
      <c r="P87" s="130"/>
      <c r="Q87" s="110"/>
      <c r="R87" s="664" t="s">
        <v>373</v>
      </c>
      <c r="S87" s="665"/>
      <c r="T87" s="666"/>
      <c r="U87" s="25"/>
      <c r="V87" s="131"/>
      <c r="W87" s="131"/>
      <c r="X87" s="25"/>
      <c r="Y87" s="25"/>
    </row>
    <row r="88" spans="1:25" ht="27.75" customHeight="1" thickBot="1" x14ac:dyDescent="0.35">
      <c r="A88" s="144"/>
      <c r="B88" s="114" t="s">
        <v>30</v>
      </c>
      <c r="C88" s="115">
        <v>41366</v>
      </c>
      <c r="D88" s="116">
        <f>IF(G88&lt;&gt;0,ROUND(H88/G88,2),0)</f>
        <v>0</v>
      </c>
      <c r="E88" s="132">
        <v>6.3</v>
      </c>
      <c r="F88" s="126"/>
      <c r="G88" s="122">
        <f>F88+G87</f>
        <v>0</v>
      </c>
      <c r="H88" s="127">
        <f>IF(F88&lt;&gt;0,H87+(E88*F88),H87)</f>
        <v>0</v>
      </c>
      <c r="I88" s="128"/>
      <c r="J88" s="112"/>
      <c r="K88" s="122"/>
      <c r="L88" s="112"/>
      <c r="M88" s="129"/>
      <c r="N88" s="112"/>
      <c r="O88" s="120"/>
      <c r="P88" s="130"/>
      <c r="Q88" s="110"/>
      <c r="R88" s="664"/>
      <c r="S88" s="665"/>
      <c r="T88" s="666"/>
      <c r="U88" s="25"/>
      <c r="V88" s="131"/>
      <c r="W88" s="131"/>
      <c r="X88" s="25"/>
      <c r="Y88" s="25"/>
    </row>
    <row r="89" spans="1:25" ht="15.75" customHeight="1" x14ac:dyDescent="0.3">
      <c r="A89" s="153" t="s">
        <v>58</v>
      </c>
      <c r="B89" s="154" t="s">
        <v>59</v>
      </c>
      <c r="C89" s="170"/>
      <c r="D89" s="123">
        <f>IF(G89&lt;&gt;0,ROUND(H89/G89,2),0)</f>
        <v>0</v>
      </c>
      <c r="E89" s="194"/>
      <c r="F89" s="156"/>
      <c r="G89" s="157">
        <f>F89+G88</f>
        <v>0</v>
      </c>
      <c r="H89" s="158">
        <f>IF(G89=0,0,MIN(H88+(D88*F89),H88))</f>
        <v>0</v>
      </c>
      <c r="I89" s="171"/>
      <c r="J89" s="111"/>
      <c r="K89" s="157"/>
      <c r="L89" s="111"/>
      <c r="M89" s="159"/>
      <c r="N89" s="111"/>
      <c r="O89" s="123">
        <f>-F89*E89</f>
        <v>0</v>
      </c>
      <c r="P89" s="124">
        <f>-F89*(E89-D88)</f>
        <v>0</v>
      </c>
      <c r="Q89" s="110"/>
      <c r="R89" s="664"/>
      <c r="S89" s="665"/>
      <c r="T89" s="666"/>
      <c r="U89" s="25"/>
      <c r="V89" s="131"/>
      <c r="W89" s="131"/>
      <c r="X89" s="25"/>
      <c r="Y89" s="25"/>
    </row>
    <row r="90" spans="1:25" ht="15.75" customHeight="1" thickBot="1" x14ac:dyDescent="0.35">
      <c r="A90" s="144" t="s">
        <v>58</v>
      </c>
      <c r="B90" s="145" t="s">
        <v>60</v>
      </c>
      <c r="C90" s="172"/>
      <c r="D90" s="161"/>
      <c r="E90" s="162"/>
      <c r="F90" s="162"/>
      <c r="G90" s="149"/>
      <c r="H90" s="163"/>
      <c r="I90" s="151">
        <f>I84</f>
        <v>0</v>
      </c>
      <c r="J90" s="195"/>
      <c r="K90" s="164"/>
      <c r="L90" s="149">
        <f>K90+L84</f>
        <v>0</v>
      </c>
      <c r="M90" s="163">
        <f>IF(K90&lt;&gt;0,MAX(0,M84+(I90*K90)),M84)</f>
        <v>0</v>
      </c>
      <c r="N90" s="239"/>
      <c r="O90" s="151">
        <f>-K90*J90</f>
        <v>0</v>
      </c>
      <c r="P90" s="152">
        <f>-K90*(J90-I84)</f>
        <v>0</v>
      </c>
      <c r="Q90" s="117"/>
      <c r="R90" s="664"/>
      <c r="S90" s="665"/>
      <c r="T90" s="666"/>
      <c r="U90" s="25"/>
      <c r="V90" s="131"/>
      <c r="W90" s="131"/>
      <c r="X90" s="25"/>
      <c r="Y90" s="25"/>
    </row>
    <row r="91" spans="1:25" ht="15.75" customHeight="1" thickBot="1" x14ac:dyDescent="0.35">
      <c r="A91" s="196" t="s">
        <v>62</v>
      </c>
      <c r="B91" s="197"/>
      <c r="C91" s="198"/>
      <c r="D91" s="199"/>
      <c r="E91" s="200" t="s">
        <v>17</v>
      </c>
      <c r="F91" s="201"/>
      <c r="G91" s="202"/>
      <c r="H91" s="203"/>
      <c r="I91" s="199"/>
      <c r="J91" s="201" t="s">
        <v>18</v>
      </c>
      <c r="K91" s="204"/>
      <c r="L91" s="202"/>
      <c r="M91" s="203"/>
      <c r="N91" s="240"/>
      <c r="O91" s="211" t="s">
        <v>31</v>
      </c>
      <c r="P91" s="212" t="s">
        <v>275</v>
      </c>
      <c r="Q91" s="110"/>
      <c r="R91" s="667"/>
      <c r="S91" s="668"/>
      <c r="T91" s="669"/>
      <c r="U91" s="25"/>
      <c r="V91" s="131"/>
      <c r="W91" s="131"/>
      <c r="X91" s="25"/>
      <c r="Y91" s="25"/>
    </row>
    <row r="92" spans="1:25" ht="47.4" thickBot="1" x14ac:dyDescent="0.35">
      <c r="A92" s="205" t="s">
        <v>275</v>
      </c>
      <c r="B92" s="206" t="s">
        <v>122</v>
      </c>
      <c r="C92" s="207" t="s">
        <v>116</v>
      </c>
      <c r="D92" s="208" t="s">
        <v>61</v>
      </c>
      <c r="E92" s="209" t="s">
        <v>123</v>
      </c>
      <c r="F92" s="209" t="s">
        <v>25</v>
      </c>
      <c r="G92" s="209" t="s">
        <v>108</v>
      </c>
      <c r="H92" s="210" t="s">
        <v>109</v>
      </c>
      <c r="I92" s="208" t="s">
        <v>61</v>
      </c>
      <c r="J92" s="209" t="s">
        <v>123</v>
      </c>
      <c r="K92" s="209" t="s">
        <v>25</v>
      </c>
      <c r="L92" s="209" t="s">
        <v>108</v>
      </c>
      <c r="M92" s="210" t="s">
        <v>109</v>
      </c>
      <c r="N92" s="241"/>
      <c r="O92" s="213" t="s">
        <v>34</v>
      </c>
      <c r="P92" s="214" t="s">
        <v>33</v>
      </c>
      <c r="Q92" s="110"/>
      <c r="R92" s="25"/>
      <c r="S92" s="25"/>
      <c r="T92" s="25"/>
      <c r="U92" s="25"/>
      <c r="V92" s="131"/>
      <c r="W92" s="131"/>
      <c r="X92" s="25"/>
      <c r="Y92" s="25"/>
    </row>
    <row r="93" spans="1:25" ht="31.2" x14ac:dyDescent="0.3">
      <c r="A93" s="113"/>
      <c r="B93" s="114" t="s">
        <v>19</v>
      </c>
      <c r="C93" s="115">
        <v>41381</v>
      </c>
      <c r="D93" s="116">
        <f>IF(G93&lt;&gt;0,ROUND(H93/G93,2),0)</f>
        <v>0</v>
      </c>
      <c r="E93" s="121">
        <v>6.27</v>
      </c>
      <c r="F93" s="126"/>
      <c r="G93" s="122">
        <f>F93+G89</f>
        <v>0</v>
      </c>
      <c r="H93" s="127">
        <f>IF(F93&lt;&gt;0,H89+(D89*F93),H89)</f>
        <v>0</v>
      </c>
      <c r="I93" s="120"/>
      <c r="J93" s="121"/>
      <c r="K93" s="122"/>
      <c r="L93" s="122"/>
      <c r="M93" s="127"/>
      <c r="N93" s="25"/>
      <c r="O93" s="120">
        <f>-F93*E93</f>
        <v>0</v>
      </c>
      <c r="P93" s="130">
        <f>-F93*(E93-D89)</f>
        <v>0</v>
      </c>
      <c r="Q93" s="110"/>
      <c r="R93" s="25"/>
      <c r="S93" s="25"/>
      <c r="T93" s="25"/>
      <c r="U93" s="25"/>
      <c r="V93" s="131"/>
      <c r="W93" s="131"/>
      <c r="X93" s="25"/>
      <c r="Y93" s="25"/>
    </row>
    <row r="94" spans="1:25" ht="31.2" x14ac:dyDescent="0.3">
      <c r="A94" s="113"/>
      <c r="B94" s="114" t="s">
        <v>276</v>
      </c>
      <c r="C94" s="115">
        <v>41418</v>
      </c>
      <c r="D94" s="120"/>
      <c r="E94" s="192"/>
      <c r="F94" s="121"/>
      <c r="G94" s="122"/>
      <c r="H94" s="129"/>
      <c r="I94" s="120">
        <f>IF(L94&lt;&gt;0,ROUND(M94/L94,2),0)</f>
        <v>0</v>
      </c>
      <c r="J94" s="132">
        <v>6.3</v>
      </c>
      <c r="K94" s="126"/>
      <c r="L94" s="122">
        <f>K94+L90</f>
        <v>0</v>
      </c>
      <c r="M94" s="127">
        <f>IF(K94&lt;&gt;0,M90+(J94*K94),M90)</f>
        <v>0</v>
      </c>
      <c r="N94" s="25"/>
      <c r="O94" s="120"/>
      <c r="P94" s="130"/>
      <c r="Q94" s="110"/>
      <c r="R94" s="25"/>
      <c r="S94" s="25"/>
      <c r="T94" s="25"/>
      <c r="U94" s="25"/>
      <c r="V94" s="131">
        <v>6.27</v>
      </c>
      <c r="W94" s="131">
        <v>6.3</v>
      </c>
      <c r="X94" s="25"/>
      <c r="Y94" s="25"/>
    </row>
    <row r="95" spans="1:25" ht="15.6" x14ac:dyDescent="0.3">
      <c r="A95" s="169"/>
      <c r="B95" s="142" t="s">
        <v>99</v>
      </c>
      <c r="C95" s="115">
        <v>41432</v>
      </c>
      <c r="D95" s="120">
        <f>D93</f>
        <v>0</v>
      </c>
      <c r="E95" s="121">
        <f>D93</f>
        <v>0</v>
      </c>
      <c r="F95" s="126"/>
      <c r="G95" s="122">
        <f>F95+G93</f>
        <v>0</v>
      </c>
      <c r="H95" s="127">
        <f>IF(F95&lt;&gt;0,H93+(D95*F95),H93)</f>
        <v>0</v>
      </c>
      <c r="I95" s="120"/>
      <c r="J95" s="121"/>
      <c r="K95" s="122"/>
      <c r="L95" s="122"/>
      <c r="M95" s="127"/>
      <c r="N95" s="112"/>
      <c r="O95" s="120">
        <f>IF(B95="Transfer to spouse (no CGT)",0,-F95*E95)</f>
        <v>0</v>
      </c>
      <c r="P95" s="130">
        <f>IF(B95="Transfer to spouse (no CGT)",0,-F95*(E95-D93))</f>
        <v>0</v>
      </c>
      <c r="Q95" s="110"/>
      <c r="R95" s="25"/>
      <c r="S95" s="25"/>
      <c r="T95" s="25"/>
      <c r="U95" s="25"/>
      <c r="V95" s="131"/>
      <c r="W95" s="131"/>
      <c r="X95" s="25"/>
      <c r="Y95" s="25"/>
    </row>
    <row r="96" spans="1:25" ht="15.6" x14ac:dyDescent="0.3">
      <c r="A96" s="169"/>
      <c r="B96" s="142" t="s">
        <v>99</v>
      </c>
      <c r="C96" s="115">
        <v>41523</v>
      </c>
      <c r="D96" s="120">
        <f>D95</f>
        <v>0</v>
      </c>
      <c r="E96" s="121">
        <f>D93</f>
        <v>0</v>
      </c>
      <c r="F96" s="126"/>
      <c r="G96" s="122">
        <f>F96+G95</f>
        <v>0</v>
      </c>
      <c r="H96" s="127">
        <f>IF(F96&lt;&gt;0,H95+(D96*F96),H95)</f>
        <v>0</v>
      </c>
      <c r="I96" s="120"/>
      <c r="J96" s="121"/>
      <c r="K96" s="122"/>
      <c r="L96" s="122"/>
      <c r="M96" s="127"/>
      <c r="N96" s="112"/>
      <c r="O96" s="120">
        <f>IF(B96="Transfer to spouse (no CGT)",0,-F96*E96)</f>
        <v>0</v>
      </c>
      <c r="P96" s="130">
        <f>IF(B96="Transfer to spouse (no CGT)",0,-F96*(E96-D93))</f>
        <v>0</v>
      </c>
      <c r="Q96" s="110"/>
      <c r="R96" s="25"/>
      <c r="S96" s="25"/>
      <c r="T96" s="25"/>
      <c r="U96" s="25"/>
      <c r="V96" s="131"/>
      <c r="W96" s="131"/>
      <c r="X96" s="25"/>
      <c r="Y96" s="25"/>
    </row>
    <row r="97" spans="1:25" ht="31.2" x14ac:dyDescent="0.3">
      <c r="A97" s="167"/>
      <c r="B97" s="114" t="s">
        <v>117</v>
      </c>
      <c r="C97" s="409">
        <v>41554</v>
      </c>
      <c r="D97" s="116">
        <f>IF(G97&lt;&gt;0,ROUND(H97/G97,2),0)</f>
        <v>0</v>
      </c>
      <c r="E97" s="177">
        <v>0</v>
      </c>
      <c r="F97" s="126"/>
      <c r="G97" s="122">
        <f>F97+G96</f>
        <v>0</v>
      </c>
      <c r="H97" s="127">
        <f>IF(F97&lt;&gt;0,H96+(E97*F97),H96)</f>
        <v>0</v>
      </c>
      <c r="I97" s="120"/>
      <c r="J97" s="121"/>
      <c r="K97" s="122"/>
      <c r="L97" s="122"/>
      <c r="M97" s="127"/>
      <c r="N97" s="25"/>
      <c r="O97" s="120"/>
      <c r="P97" s="130"/>
      <c r="Q97" s="110"/>
      <c r="R97" s="25"/>
      <c r="S97" s="25"/>
      <c r="T97" s="25"/>
      <c r="U97" s="25"/>
      <c r="V97" s="131"/>
      <c r="W97" s="131"/>
      <c r="X97" s="25"/>
      <c r="Y97" s="25"/>
    </row>
    <row r="98" spans="1:25" ht="15.6" x14ac:dyDescent="0.3">
      <c r="A98" s="25"/>
      <c r="B98" s="114" t="s">
        <v>24</v>
      </c>
      <c r="C98" s="409">
        <v>41554</v>
      </c>
      <c r="D98" s="116">
        <f>D97</f>
        <v>0</v>
      </c>
      <c r="E98" s="117">
        <v>6.68</v>
      </c>
      <c r="F98" s="126"/>
      <c r="G98" s="122">
        <f>F98+G97</f>
        <v>0</v>
      </c>
      <c r="H98" s="127">
        <f>IF(F98&lt;&gt;0,H97+(D98*F98),H97)</f>
        <v>0</v>
      </c>
      <c r="I98" s="120"/>
      <c r="J98" s="121"/>
      <c r="K98" s="122"/>
      <c r="L98" s="122"/>
      <c r="M98" s="127"/>
      <c r="N98" s="25"/>
      <c r="O98" s="120">
        <f>-F98*E98</f>
        <v>0</v>
      </c>
      <c r="P98" s="130">
        <f>-F98*(E98-D97)</f>
        <v>0</v>
      </c>
      <c r="Q98" s="110"/>
      <c r="R98" s="25"/>
      <c r="S98" s="25"/>
      <c r="T98" s="25"/>
      <c r="U98" s="25"/>
      <c r="V98" s="131"/>
      <c r="W98" s="131"/>
      <c r="X98" s="25"/>
      <c r="Y98" s="25"/>
    </row>
    <row r="99" spans="1:25" ht="15.6" x14ac:dyDescent="0.3">
      <c r="A99" s="167"/>
      <c r="B99" s="142" t="s">
        <v>99</v>
      </c>
      <c r="C99" s="115">
        <v>41614</v>
      </c>
      <c r="D99" s="116">
        <f>D98</f>
        <v>0</v>
      </c>
      <c r="E99" s="117">
        <f>D98</f>
        <v>0</v>
      </c>
      <c r="F99" s="126"/>
      <c r="G99" s="122">
        <f>F99+G98</f>
        <v>0</v>
      </c>
      <c r="H99" s="127">
        <f>IF(F99&lt;&gt;0,H98+(D99*F99),H98)</f>
        <v>0</v>
      </c>
      <c r="I99" s="120"/>
      <c r="J99" s="121"/>
      <c r="K99" s="122"/>
      <c r="L99" s="122"/>
      <c r="M99" s="127"/>
      <c r="N99" s="112"/>
      <c r="O99" s="120">
        <f>IF(B99="Transfer to spouse (no CGT)",0,-F99*E99)</f>
        <v>0</v>
      </c>
      <c r="P99" s="130">
        <f>IF(B99="Transfer to spouse (no CGT)",0,-F99*(E99-D98))</f>
        <v>0</v>
      </c>
      <c r="Q99" s="110"/>
      <c r="R99" s="25"/>
      <c r="S99" s="25"/>
      <c r="T99" s="25"/>
      <c r="U99" s="25"/>
      <c r="V99" s="131"/>
      <c r="W99" s="131"/>
      <c r="X99" s="25"/>
      <c r="Y99" s="25"/>
    </row>
    <row r="100" spans="1:25" ht="31.2" x14ac:dyDescent="0.3">
      <c r="A100" s="25"/>
      <c r="B100" s="114" t="s">
        <v>277</v>
      </c>
      <c r="C100" s="179">
        <v>41699</v>
      </c>
      <c r="D100" s="116">
        <f>IF(G100&lt;&gt;0,ROUND(H100/G100,20),0)</f>
        <v>0</v>
      </c>
      <c r="E100" s="117" t="str">
        <f>IF(K100&lt;0,J100,"")</f>
        <v/>
      </c>
      <c r="F100" s="143" t="str">
        <f>IF(K100&lt;0,-K100,"")</f>
        <v/>
      </c>
      <c r="G100" s="122">
        <f>IF(F100="",G99,F100+G99)</f>
        <v>0</v>
      </c>
      <c r="H100" s="127">
        <f>IF(F100="",H99,H99+(E100*F100))</f>
        <v>0</v>
      </c>
      <c r="I100" s="120">
        <f>IF(L100&lt;&gt;0,ROUND(M100/L100,20),0)</f>
        <v>0</v>
      </c>
      <c r="J100" s="121">
        <f>I94</f>
        <v>0</v>
      </c>
      <c r="K100" s="126"/>
      <c r="L100" s="122">
        <f>K100+L94</f>
        <v>0</v>
      </c>
      <c r="M100" s="127">
        <f>IF(K100&lt;&gt;0,M94+(J100*K100),M94)</f>
        <v>0</v>
      </c>
      <c r="N100" s="112"/>
      <c r="O100" s="120"/>
      <c r="P100" s="130"/>
      <c r="Q100" s="110"/>
      <c r="R100" s="25"/>
      <c r="S100" s="25"/>
      <c r="T100" s="25"/>
      <c r="U100" s="25"/>
      <c r="V100" s="131"/>
      <c r="W100" s="131"/>
      <c r="X100" s="25"/>
      <c r="Y100" s="25"/>
    </row>
    <row r="101" spans="1:25" ht="15.6" x14ac:dyDescent="0.3">
      <c r="A101" s="113"/>
      <c r="B101" s="142" t="s">
        <v>99</v>
      </c>
      <c r="C101" s="179">
        <v>41705</v>
      </c>
      <c r="D101" s="116">
        <f>D100</f>
        <v>0</v>
      </c>
      <c r="E101" s="117">
        <f>D100</f>
        <v>0</v>
      </c>
      <c r="F101" s="126"/>
      <c r="G101" s="122">
        <f>F101+G100</f>
        <v>0</v>
      </c>
      <c r="H101" s="127">
        <f>IF(F101&lt;&gt;0,H100+(D101*F101),H100)</f>
        <v>0</v>
      </c>
      <c r="I101" s="112"/>
      <c r="J101" s="112"/>
      <c r="K101" s="122"/>
      <c r="L101" s="122"/>
      <c r="M101" s="129"/>
      <c r="N101" s="112"/>
      <c r="O101" s="120">
        <f>IF(B101="Transfer to spouse (no CGT)",0,-F101*E101)</f>
        <v>0</v>
      </c>
      <c r="P101" s="130">
        <f>IF(B101="Transfer to spouse (no CGT)",0,-F101*(E101-D98))</f>
        <v>0</v>
      </c>
      <c r="Q101" s="110"/>
      <c r="R101" s="25"/>
      <c r="S101" s="25"/>
      <c r="T101" s="25"/>
      <c r="U101" s="25"/>
      <c r="V101" s="131"/>
      <c r="W101" s="131"/>
      <c r="X101" s="25"/>
      <c r="Y101" s="25"/>
    </row>
    <row r="102" spans="1:25" ht="15.6" x14ac:dyDescent="0.3">
      <c r="A102" s="167"/>
      <c r="B102" s="114" t="s">
        <v>24</v>
      </c>
      <c r="C102" s="115">
        <v>41733</v>
      </c>
      <c r="D102" s="116">
        <f>D101</f>
        <v>0</v>
      </c>
      <c r="E102" s="420">
        <v>7.3</v>
      </c>
      <c r="F102" s="126"/>
      <c r="G102" s="122">
        <f>F102+G101</f>
        <v>0</v>
      </c>
      <c r="H102" s="127">
        <f>IF(F102&lt;&gt;0,H101+(D102*F102),H101)</f>
        <v>0</v>
      </c>
      <c r="I102" s="128"/>
      <c r="J102" s="112"/>
      <c r="K102" s="122"/>
      <c r="L102" s="122"/>
      <c r="M102" s="129"/>
      <c r="N102" s="112"/>
      <c r="O102" s="120">
        <f>-F102*E102</f>
        <v>0</v>
      </c>
      <c r="P102" s="130">
        <f>-F102*(E102-D100)</f>
        <v>0</v>
      </c>
      <c r="Q102" s="110"/>
      <c r="R102" s="25"/>
      <c r="S102" s="25"/>
      <c r="T102" s="25"/>
      <c r="U102" s="25"/>
      <c r="V102" s="131"/>
      <c r="W102" s="131"/>
      <c r="X102" s="25"/>
      <c r="Y102" s="25"/>
    </row>
    <row r="103" spans="1:25" ht="31.2" x14ac:dyDescent="0.3">
      <c r="A103" s="167"/>
      <c r="B103" s="114" t="s">
        <v>119</v>
      </c>
      <c r="C103" s="115">
        <v>41733</v>
      </c>
      <c r="D103" s="116">
        <f>IF(G103&lt;&gt;0,ROUND(H103/G103,20),0)</f>
        <v>0</v>
      </c>
      <c r="E103" s="177">
        <v>0</v>
      </c>
      <c r="F103" s="126"/>
      <c r="G103" s="122">
        <f>F103+G102</f>
        <v>0</v>
      </c>
      <c r="H103" s="127">
        <f>IF(F103&lt;&gt;0,H102+(E103*F103),H102)</f>
        <v>0</v>
      </c>
      <c r="I103" s="128"/>
      <c r="J103" s="112"/>
      <c r="K103" s="122"/>
      <c r="L103" s="122"/>
      <c r="M103" s="129"/>
      <c r="N103" s="112"/>
      <c r="O103" s="120"/>
      <c r="P103" s="130"/>
      <c r="Q103" s="110"/>
      <c r="R103" s="25"/>
      <c r="S103" s="25"/>
      <c r="T103" s="25"/>
      <c r="U103" s="25"/>
      <c r="V103" s="131"/>
      <c r="W103" s="131"/>
      <c r="X103" s="25"/>
      <c r="Y103" s="25"/>
    </row>
    <row r="104" spans="1:25" ht="16.2" thickBot="1" x14ac:dyDescent="0.35">
      <c r="A104" s="113"/>
      <c r="B104" s="114" t="s">
        <v>30</v>
      </c>
      <c r="C104" s="115">
        <v>41733</v>
      </c>
      <c r="D104" s="116">
        <f>IF(G104&lt;&gt;0,ROUND(H104/G104,20),0)</f>
        <v>0</v>
      </c>
      <c r="E104" s="132">
        <v>7.33</v>
      </c>
      <c r="F104" s="126"/>
      <c r="G104" s="122">
        <f>F104+G103</f>
        <v>0</v>
      </c>
      <c r="H104" s="127">
        <f>IF(F104&lt;&gt;0,H103+(E104*F104),H103)</f>
        <v>0</v>
      </c>
      <c r="I104" s="128"/>
      <c r="J104" s="112"/>
      <c r="K104" s="122"/>
      <c r="L104" s="112"/>
      <c r="M104" s="129"/>
      <c r="N104" s="112"/>
      <c r="O104" s="120"/>
      <c r="P104" s="130"/>
      <c r="Q104" s="110"/>
      <c r="R104" s="25"/>
      <c r="S104" s="25"/>
      <c r="T104" s="25"/>
      <c r="U104" s="25"/>
      <c r="V104" s="131"/>
      <c r="W104" s="131"/>
      <c r="X104" s="25"/>
      <c r="Y104" s="25"/>
    </row>
    <row r="105" spans="1:25" ht="15.6" x14ac:dyDescent="0.3">
      <c r="A105" s="153" t="s">
        <v>58</v>
      </c>
      <c r="B105" s="154" t="s">
        <v>59</v>
      </c>
      <c r="C105" s="170"/>
      <c r="D105" s="123">
        <f>IF(G105&lt;&gt;0,ROUND(H105/G105,20),0)</f>
        <v>0</v>
      </c>
      <c r="E105" s="194"/>
      <c r="F105" s="156"/>
      <c r="G105" s="157">
        <f>F105+G104</f>
        <v>0</v>
      </c>
      <c r="H105" s="158">
        <f>IF(G105=0,0,MIN(H104+(D104*F105),H104))</f>
        <v>0</v>
      </c>
      <c r="I105" s="171"/>
      <c r="J105" s="111"/>
      <c r="K105" s="157"/>
      <c r="L105" s="111"/>
      <c r="M105" s="159"/>
      <c r="N105" s="111"/>
      <c r="O105" s="123">
        <f>-F105*E105</f>
        <v>0</v>
      </c>
      <c r="P105" s="124">
        <f>-F105*(E105-D104)</f>
        <v>0</v>
      </c>
      <c r="Q105" s="110"/>
      <c r="R105" s="25"/>
      <c r="S105" s="25"/>
      <c r="T105" s="25"/>
      <c r="U105" s="25"/>
      <c r="V105" s="131"/>
      <c r="W105" s="131"/>
      <c r="X105" s="25"/>
      <c r="Y105" s="25"/>
    </row>
    <row r="106" spans="1:25" ht="16.2" thickBot="1" x14ac:dyDescent="0.35">
      <c r="A106" s="144" t="s">
        <v>58</v>
      </c>
      <c r="B106" s="145" t="s">
        <v>60</v>
      </c>
      <c r="C106" s="172"/>
      <c r="D106" s="161"/>
      <c r="E106" s="162"/>
      <c r="F106" s="162"/>
      <c r="G106" s="149"/>
      <c r="H106" s="163"/>
      <c r="I106" s="151">
        <f>I100</f>
        <v>0</v>
      </c>
      <c r="J106" s="195"/>
      <c r="K106" s="164"/>
      <c r="L106" s="149">
        <f>K106+L100</f>
        <v>0</v>
      </c>
      <c r="M106" s="163">
        <f>IF(K106&lt;&gt;0,MAX(0,M100+(I106*K106)),M100)</f>
        <v>0</v>
      </c>
      <c r="N106" s="148"/>
      <c r="O106" s="151">
        <f>-K106*J106</f>
        <v>0</v>
      </c>
      <c r="P106" s="152">
        <f>-K106*(J106-I100)</f>
        <v>0</v>
      </c>
      <c r="Q106" s="110"/>
      <c r="R106" s="25"/>
      <c r="S106" s="25"/>
      <c r="T106" s="25"/>
      <c r="U106" s="25"/>
      <c r="V106" s="131"/>
      <c r="W106" s="131"/>
      <c r="X106" s="25"/>
      <c r="Y106" s="25"/>
    </row>
    <row r="107" spans="1:25" ht="18.75" customHeight="1" x14ac:dyDescent="0.3">
      <c r="A107" s="196" t="s">
        <v>62</v>
      </c>
      <c r="B107" s="197"/>
      <c r="C107" s="198"/>
      <c r="D107" s="199"/>
      <c r="E107" s="200" t="s">
        <v>17</v>
      </c>
      <c r="F107" s="201"/>
      <c r="G107" s="202"/>
      <c r="H107" s="203"/>
      <c r="I107" s="199"/>
      <c r="J107" s="201" t="s">
        <v>18</v>
      </c>
      <c r="K107" s="204"/>
      <c r="L107" s="202"/>
      <c r="M107" s="203"/>
      <c r="N107" s="111"/>
      <c r="O107" s="211" t="s">
        <v>31</v>
      </c>
      <c r="P107" s="212" t="s">
        <v>299</v>
      </c>
      <c r="Q107" s="110"/>
      <c r="R107" s="25"/>
      <c r="S107" s="25"/>
      <c r="T107" s="25"/>
      <c r="U107" s="25"/>
      <c r="V107" s="25"/>
      <c r="W107" s="25"/>
      <c r="X107" s="25"/>
      <c r="Y107" s="25"/>
    </row>
    <row r="108" spans="1:25" ht="30.75" customHeight="1" thickBot="1" x14ac:dyDescent="0.35">
      <c r="A108" s="205" t="s">
        <v>299</v>
      </c>
      <c r="B108" s="206" t="s">
        <v>122</v>
      </c>
      <c r="C108" s="207" t="s">
        <v>116</v>
      </c>
      <c r="D108" s="208" t="s">
        <v>61</v>
      </c>
      <c r="E108" s="209" t="s">
        <v>123</v>
      </c>
      <c r="F108" s="209" t="s">
        <v>25</v>
      </c>
      <c r="G108" s="209" t="s">
        <v>108</v>
      </c>
      <c r="H108" s="210" t="s">
        <v>109</v>
      </c>
      <c r="I108" s="208" t="s">
        <v>61</v>
      </c>
      <c r="J108" s="209" t="s">
        <v>123</v>
      </c>
      <c r="K108" s="209" t="s">
        <v>25</v>
      </c>
      <c r="L108" s="209" t="s">
        <v>108</v>
      </c>
      <c r="M108" s="210" t="s">
        <v>109</v>
      </c>
      <c r="N108" s="112"/>
      <c r="O108" s="213" t="s">
        <v>34</v>
      </c>
      <c r="P108" s="214" t="s">
        <v>33</v>
      </c>
      <c r="Q108" s="110"/>
      <c r="R108" s="25"/>
      <c r="S108" s="25"/>
      <c r="T108" s="25"/>
      <c r="U108" s="25"/>
      <c r="V108" s="25"/>
      <c r="W108" s="25"/>
      <c r="X108" s="25"/>
      <c r="Y108" s="25"/>
    </row>
    <row r="109" spans="1:25" ht="31.2" x14ac:dyDescent="0.3">
      <c r="A109" s="113"/>
      <c r="B109" s="114" t="s">
        <v>19</v>
      </c>
      <c r="C109" s="179">
        <v>41752</v>
      </c>
      <c r="D109" s="116">
        <f>IF(G109&lt;&gt;0,ROUND(H109/G109,20),0)</f>
        <v>0</v>
      </c>
      <c r="E109" s="121">
        <v>7.3</v>
      </c>
      <c r="F109" s="126"/>
      <c r="G109" s="122">
        <f>F109+G105</f>
        <v>0</v>
      </c>
      <c r="H109" s="127">
        <f>IF(F109&lt;&gt;0,H105+(D105*F109),H105)</f>
        <v>0</v>
      </c>
      <c r="I109" s="120"/>
      <c r="J109" s="121"/>
      <c r="K109" s="122"/>
      <c r="L109" s="122"/>
      <c r="M109" s="127"/>
      <c r="N109" s="25"/>
      <c r="O109" s="120">
        <f>-F109*E109</f>
        <v>0</v>
      </c>
      <c r="P109" s="130">
        <f>-F109*(E109-D105)</f>
        <v>0</v>
      </c>
      <c r="Q109" s="110"/>
      <c r="R109" s="25"/>
      <c r="S109" s="25"/>
      <c r="T109" s="25"/>
      <c r="U109" s="25"/>
      <c r="V109" s="25"/>
      <c r="W109" s="25"/>
      <c r="X109" s="25"/>
      <c r="Y109" s="25"/>
    </row>
    <row r="110" spans="1:25" ht="31.2" x14ac:dyDescent="0.3">
      <c r="A110" s="113"/>
      <c r="B110" s="114" t="s">
        <v>324</v>
      </c>
      <c r="C110" s="115">
        <v>41789</v>
      </c>
      <c r="D110" s="120"/>
      <c r="E110" s="192"/>
      <c r="F110" s="121"/>
      <c r="G110" s="122"/>
      <c r="H110" s="129"/>
      <c r="I110" s="120">
        <f>IF(L110&lt;&gt;0,ROUND(M110/L110,20),0)</f>
        <v>0</v>
      </c>
      <c r="J110" s="193">
        <v>7.33</v>
      </c>
      <c r="K110" s="126"/>
      <c r="L110" s="122">
        <f>K110+L106</f>
        <v>0</v>
      </c>
      <c r="M110" s="127">
        <f>IF(K110&lt;&gt;0,M106+(J110*K110),M106)</f>
        <v>0</v>
      </c>
      <c r="N110" s="25"/>
      <c r="O110" s="120"/>
      <c r="P110" s="130"/>
      <c r="Q110" s="110"/>
      <c r="R110" s="25"/>
      <c r="S110" s="25"/>
      <c r="T110" s="25"/>
      <c r="U110" s="25"/>
      <c r="V110" s="25">
        <v>7.3</v>
      </c>
      <c r="W110" s="25">
        <v>7.33</v>
      </c>
      <c r="X110" s="25"/>
      <c r="Y110" s="25"/>
    </row>
    <row r="111" spans="1:25" ht="15.6" x14ac:dyDescent="0.3">
      <c r="A111" s="169"/>
      <c r="B111" s="142" t="s">
        <v>99</v>
      </c>
      <c r="C111" s="179">
        <v>41796</v>
      </c>
      <c r="D111" s="120">
        <f>D109</f>
        <v>0</v>
      </c>
      <c r="E111" s="121">
        <f>D109</f>
        <v>0</v>
      </c>
      <c r="F111" s="126"/>
      <c r="G111" s="122">
        <f>F111+G109</f>
        <v>0</v>
      </c>
      <c r="H111" s="127">
        <f>IF(F111&lt;&gt;0,H109+(D111*F111),H109)</f>
        <v>0</v>
      </c>
      <c r="I111" s="120"/>
      <c r="J111" s="121"/>
      <c r="K111" s="122"/>
      <c r="L111" s="122"/>
      <c r="M111" s="127"/>
      <c r="N111" s="112"/>
      <c r="O111" s="120">
        <f>IF(B111="Transfer to spouse (no CGT)",0,-F111*E111)</f>
        <v>0</v>
      </c>
      <c r="P111" s="130">
        <f>IF(B111="Transfer to spouse (no CGT)",0,-F111*(E111-D109))</f>
        <v>0</v>
      </c>
      <c r="Q111" s="110"/>
      <c r="R111" s="25"/>
      <c r="S111" s="25"/>
      <c r="T111" s="25"/>
      <c r="U111" s="25"/>
      <c r="V111" s="25"/>
      <c r="W111" s="25"/>
      <c r="X111" s="25"/>
      <c r="Y111" s="25"/>
    </row>
    <row r="112" spans="1:25" ht="15.6" x14ac:dyDescent="0.3">
      <c r="A112" s="169"/>
      <c r="B112" s="142" t="s">
        <v>99</v>
      </c>
      <c r="C112" s="115">
        <v>41887</v>
      </c>
      <c r="D112" s="120">
        <f>D111</f>
        <v>0</v>
      </c>
      <c r="E112" s="121">
        <f>D109</f>
        <v>0</v>
      </c>
      <c r="F112" s="126"/>
      <c r="G112" s="122">
        <f>F112+G111</f>
        <v>0</v>
      </c>
      <c r="H112" s="127">
        <f>IF(F112&lt;&gt;0,H111+(D112*F112),H111)</f>
        <v>0</v>
      </c>
      <c r="I112" s="120"/>
      <c r="J112" s="121"/>
      <c r="K112" s="122"/>
      <c r="L112" s="122"/>
      <c r="M112" s="127"/>
      <c r="N112" s="112"/>
      <c r="O112" s="120">
        <f>IF(B112="Transfer to spouse (no CGT)",0,-F112*E112)</f>
        <v>0</v>
      </c>
      <c r="P112" s="130">
        <f>IF(B112="Transfer to spouse (no CGT)",0,-F112*(E112-D109))</f>
        <v>0</v>
      </c>
      <c r="Q112" s="110"/>
      <c r="R112" s="25"/>
      <c r="S112" s="25"/>
      <c r="T112" s="25"/>
      <c r="U112" s="25"/>
      <c r="V112" s="25"/>
      <c r="W112" s="25"/>
      <c r="X112" s="25"/>
      <c r="Y112" s="25"/>
    </row>
    <row r="113" spans="1:25" ht="31.2" x14ac:dyDescent="0.3">
      <c r="A113" s="167"/>
      <c r="B113" s="114" t="s">
        <v>117</v>
      </c>
      <c r="C113" s="115">
        <v>41915</v>
      </c>
      <c r="D113" s="116">
        <f>IF(G113&lt;&gt;0,ROUND(H113/G113,20),0)</f>
        <v>0</v>
      </c>
      <c r="E113" s="177">
        <v>0</v>
      </c>
      <c r="F113" s="126"/>
      <c r="G113" s="122">
        <f>F113+G112</f>
        <v>0</v>
      </c>
      <c r="H113" s="127">
        <f>IF(F113&lt;&gt;0,H112+(E113*F113),H112)</f>
        <v>0</v>
      </c>
      <c r="I113" s="120"/>
      <c r="J113" s="121"/>
      <c r="K113" s="122"/>
      <c r="L113" s="122"/>
      <c r="M113" s="127"/>
      <c r="N113" s="25"/>
      <c r="O113" s="120"/>
      <c r="P113" s="130"/>
      <c r="Q113" s="110"/>
      <c r="R113" s="25"/>
      <c r="S113" s="25"/>
      <c r="T113" s="25"/>
      <c r="U113" s="25"/>
      <c r="V113" s="25"/>
      <c r="W113" s="25"/>
      <c r="X113" s="25"/>
      <c r="Y113" s="25"/>
    </row>
    <row r="114" spans="1:25" ht="15.6" x14ac:dyDescent="0.3">
      <c r="A114" s="25"/>
      <c r="B114" s="114" t="s">
        <v>24</v>
      </c>
      <c r="C114" s="115">
        <v>41915</v>
      </c>
      <c r="D114" s="116">
        <f>D113</f>
        <v>0</v>
      </c>
      <c r="E114" s="117">
        <v>7.88</v>
      </c>
      <c r="F114" s="126"/>
      <c r="G114" s="122">
        <f>F114+G113</f>
        <v>0</v>
      </c>
      <c r="H114" s="127">
        <f>IF(F114&lt;&gt;0,H113+(D114*F114),H113)</f>
        <v>0</v>
      </c>
      <c r="I114" s="120"/>
      <c r="J114" s="121"/>
      <c r="K114" s="122"/>
      <c r="L114" s="122"/>
      <c r="M114" s="127"/>
      <c r="N114" s="25"/>
      <c r="O114" s="120">
        <f>-F114*E114</f>
        <v>0</v>
      </c>
      <c r="P114" s="130">
        <f>-F114*(E114-D113)</f>
        <v>0</v>
      </c>
      <c r="Q114" s="110"/>
      <c r="R114" s="25"/>
      <c r="S114" s="25"/>
      <c r="T114" s="25"/>
      <c r="U114" s="25"/>
      <c r="V114" s="25"/>
      <c r="W114" s="25"/>
      <c r="X114" s="25"/>
      <c r="Y114" s="25"/>
    </row>
    <row r="115" spans="1:25" ht="15.6" x14ac:dyDescent="0.3">
      <c r="A115" s="167"/>
      <c r="B115" s="142" t="s">
        <v>99</v>
      </c>
      <c r="C115" s="115">
        <v>41975</v>
      </c>
      <c r="D115" s="116">
        <f>D114</f>
        <v>0</v>
      </c>
      <c r="E115" s="117">
        <f>D114</f>
        <v>0</v>
      </c>
      <c r="F115" s="126"/>
      <c r="G115" s="122">
        <f>F115+G114</f>
        <v>0</v>
      </c>
      <c r="H115" s="127">
        <f>IF(F115&lt;&gt;0,H114+(D115*F115),H114)</f>
        <v>0</v>
      </c>
      <c r="I115" s="120"/>
      <c r="J115" s="121"/>
      <c r="K115" s="122"/>
      <c r="L115" s="122"/>
      <c r="M115" s="127"/>
      <c r="N115" s="112"/>
      <c r="O115" s="120">
        <f>IF(B115="Transfer to spouse (no CGT)",0,-F115*E115)</f>
        <v>0</v>
      </c>
      <c r="P115" s="130">
        <f>IF(B115="Transfer to spouse (no CGT)",0,-F115*(E115-D114))</f>
        <v>0</v>
      </c>
      <c r="Q115" s="110"/>
      <c r="R115" s="25"/>
      <c r="S115" s="25"/>
      <c r="T115" s="25"/>
      <c r="U115" s="25"/>
      <c r="V115" s="25"/>
      <c r="W115" s="25"/>
      <c r="X115" s="25"/>
      <c r="Y115" s="25"/>
    </row>
    <row r="116" spans="1:25" ht="31.2" x14ac:dyDescent="0.3">
      <c r="A116" s="25"/>
      <c r="B116" s="114" t="s">
        <v>325</v>
      </c>
      <c r="C116" s="115">
        <v>42064</v>
      </c>
      <c r="D116" s="116">
        <f>IF(G116&lt;&gt;0,ROUND(H116/G116,20),0)</f>
        <v>0</v>
      </c>
      <c r="E116" s="117" t="str">
        <f>IF(K116&lt;0,J116,"")</f>
        <v/>
      </c>
      <c r="F116" s="143" t="str">
        <f>IF(K116&lt;0,-K116,"")</f>
        <v/>
      </c>
      <c r="G116" s="122">
        <f>IF(F116="",G115,F116+G115)</f>
        <v>0</v>
      </c>
      <c r="H116" s="127">
        <f>IF(F116="",H115,H115+(E116*F116))</f>
        <v>0</v>
      </c>
      <c r="I116" s="120">
        <f>IF(L116&lt;&gt;0,ROUND(M116/L116,20),0)</f>
        <v>0</v>
      </c>
      <c r="J116" s="121">
        <f>I110</f>
        <v>0</v>
      </c>
      <c r="K116" s="126"/>
      <c r="L116" s="122">
        <f>K116+L110</f>
        <v>0</v>
      </c>
      <c r="M116" s="127">
        <f>IF(K116&lt;&gt;0,M110+(J116*K116),M110)</f>
        <v>0</v>
      </c>
      <c r="N116" s="112"/>
      <c r="O116" s="120"/>
      <c r="P116" s="130"/>
      <c r="Q116" s="110"/>
      <c r="R116" s="25"/>
      <c r="S116" s="25"/>
      <c r="T116" s="25"/>
      <c r="U116" s="25"/>
      <c r="V116" s="25"/>
      <c r="W116" s="25"/>
      <c r="X116" s="25"/>
      <c r="Y116" s="25"/>
    </row>
    <row r="117" spans="1:25" ht="15.6" x14ac:dyDescent="0.3">
      <c r="A117" s="113"/>
      <c r="B117" s="142" t="s">
        <v>99</v>
      </c>
      <c r="C117" s="409">
        <v>42068</v>
      </c>
      <c r="D117" s="116">
        <f>D116</f>
        <v>0</v>
      </c>
      <c r="E117" s="117">
        <f>D116</f>
        <v>0</v>
      </c>
      <c r="F117" s="126"/>
      <c r="G117" s="122">
        <f>F117+G116</f>
        <v>0</v>
      </c>
      <c r="H117" s="127">
        <f>IF(F117&lt;&gt;0,H116+(D117*F117),H116)</f>
        <v>0</v>
      </c>
      <c r="I117" s="112"/>
      <c r="J117" s="112"/>
      <c r="K117" s="122"/>
      <c r="L117" s="122"/>
      <c r="M117" s="129"/>
      <c r="N117" s="112"/>
      <c r="O117" s="120">
        <f>IF(B117="Transfer to spouse (no CGT)",0,-F117*E117)</f>
        <v>0</v>
      </c>
      <c r="P117" s="130">
        <f>IF(B117="Transfer to spouse (no CGT)",0,-F117*(E117-D114))</f>
        <v>0</v>
      </c>
      <c r="Q117" s="110"/>
      <c r="R117" s="25"/>
      <c r="S117" s="25"/>
      <c r="T117" s="25"/>
      <c r="U117" s="25"/>
      <c r="V117" s="25"/>
      <c r="W117" s="25"/>
      <c r="X117" s="25"/>
      <c r="Y117" s="25"/>
    </row>
    <row r="118" spans="1:25" ht="15.6" x14ac:dyDescent="0.3">
      <c r="A118" s="167"/>
      <c r="B118" s="114" t="s">
        <v>24</v>
      </c>
      <c r="C118" s="115">
        <v>42095</v>
      </c>
      <c r="D118" s="116">
        <f>D117</f>
        <v>0</v>
      </c>
      <c r="E118" s="117">
        <v>8.91</v>
      </c>
      <c r="F118" s="126"/>
      <c r="G118" s="122">
        <f>F118+G117</f>
        <v>0</v>
      </c>
      <c r="H118" s="127">
        <f>IF(F118&lt;&gt;0,H117+(D118*F118),H117)</f>
        <v>0</v>
      </c>
      <c r="I118" s="128"/>
      <c r="J118" s="112"/>
      <c r="K118" s="122"/>
      <c r="L118" s="122"/>
      <c r="M118" s="129"/>
      <c r="N118" s="112"/>
      <c r="O118" s="120">
        <f>-F118*E118</f>
        <v>0</v>
      </c>
      <c r="P118" s="130">
        <f>-F118*(E118-D116)</f>
        <v>0</v>
      </c>
      <c r="Q118" s="110"/>
      <c r="R118" s="25"/>
      <c r="S118" s="25"/>
      <c r="T118" s="25"/>
      <c r="U118" s="25"/>
      <c r="V118" s="25"/>
      <c r="W118" s="25"/>
      <c r="X118" s="25"/>
      <c r="Y118" s="25"/>
    </row>
    <row r="119" spans="1:25" ht="31.2" x14ac:dyDescent="0.3">
      <c r="A119" s="167"/>
      <c r="B119" s="114" t="s">
        <v>119</v>
      </c>
      <c r="C119" s="115">
        <v>42095</v>
      </c>
      <c r="D119" s="116">
        <f>IF(G119&lt;&gt;0,ROUND(H119/G119,20),0)</f>
        <v>0</v>
      </c>
      <c r="E119" s="177">
        <v>0</v>
      </c>
      <c r="F119" s="126"/>
      <c r="G119" s="122">
        <f>F119+G118</f>
        <v>0</v>
      </c>
      <c r="H119" s="127">
        <f>IF(F119&lt;&gt;0,H118+(E119*F119),H118)</f>
        <v>0</v>
      </c>
      <c r="I119" s="128"/>
      <c r="J119" s="112"/>
      <c r="K119" s="122"/>
      <c r="L119" s="122"/>
      <c r="M119" s="129"/>
      <c r="N119" s="112"/>
      <c r="O119" s="120"/>
      <c r="P119" s="130"/>
      <c r="Q119" s="110"/>
      <c r="R119" s="25"/>
      <c r="S119" s="25"/>
      <c r="T119" s="25"/>
      <c r="U119" s="25"/>
      <c r="V119" s="25"/>
      <c r="W119" s="25"/>
      <c r="X119" s="25"/>
      <c r="Y119" s="25"/>
    </row>
    <row r="120" spans="1:25" ht="16.2" thickBot="1" x14ac:dyDescent="0.35">
      <c r="A120" s="113"/>
      <c r="B120" s="114" t="s">
        <v>30</v>
      </c>
      <c r="C120" s="115">
        <v>42095</v>
      </c>
      <c r="D120" s="116">
        <f>IF(G120&lt;&gt;0,ROUND(H120/G120,20),0)</f>
        <v>0</v>
      </c>
      <c r="E120" s="132">
        <v>8.9499999999999993</v>
      </c>
      <c r="F120" s="126"/>
      <c r="G120" s="122">
        <f>F120+G119</f>
        <v>0</v>
      </c>
      <c r="H120" s="127">
        <f>IF(F120&lt;&gt;0,H119+(E120*F120),H119)</f>
        <v>0</v>
      </c>
      <c r="I120" s="128"/>
      <c r="J120" s="112"/>
      <c r="K120" s="122"/>
      <c r="L120" s="112"/>
      <c r="M120" s="129"/>
      <c r="N120" s="112"/>
      <c r="O120" s="120"/>
      <c r="P120" s="130"/>
      <c r="Q120" s="110"/>
      <c r="R120" s="25"/>
      <c r="S120" s="25"/>
      <c r="T120" s="25"/>
      <c r="U120" s="25"/>
      <c r="V120" s="25">
        <v>8.91</v>
      </c>
      <c r="W120" s="25">
        <v>8.9499999999999993</v>
      </c>
      <c r="X120" s="25"/>
      <c r="Y120" s="25"/>
    </row>
    <row r="121" spans="1:25" ht="15.6" x14ac:dyDescent="0.3">
      <c r="A121" s="153" t="s">
        <v>58</v>
      </c>
      <c r="B121" s="154" t="s">
        <v>59</v>
      </c>
      <c r="C121" s="170"/>
      <c r="D121" s="123">
        <f>IF(G121&lt;&gt;0,ROUND(H121/G121,20),0)</f>
        <v>0</v>
      </c>
      <c r="E121" s="194"/>
      <c r="F121" s="156"/>
      <c r="G121" s="157">
        <f>F121+G120</f>
        <v>0</v>
      </c>
      <c r="H121" s="158">
        <f>IF(G121=0,0,MIN(H120+(D120*F121),H120))</f>
        <v>0</v>
      </c>
      <c r="I121" s="171"/>
      <c r="J121" s="111"/>
      <c r="K121" s="157"/>
      <c r="L121" s="111"/>
      <c r="M121" s="159"/>
      <c r="N121" s="111"/>
      <c r="O121" s="123">
        <f>-F121*E121</f>
        <v>0</v>
      </c>
      <c r="P121" s="124">
        <f>-F121*(E121-D120)</f>
        <v>0</v>
      </c>
      <c r="Q121" s="110"/>
      <c r="R121" s="25"/>
      <c r="S121" s="25"/>
      <c r="T121" s="25"/>
      <c r="U121" s="25"/>
      <c r="V121" s="25"/>
      <c r="W121" s="25"/>
      <c r="X121" s="25"/>
      <c r="Y121" s="25"/>
    </row>
    <row r="122" spans="1:25" ht="16.2" thickBot="1" x14ac:dyDescent="0.35">
      <c r="A122" s="144" t="s">
        <v>58</v>
      </c>
      <c r="B122" s="114" t="s">
        <v>60</v>
      </c>
      <c r="C122" s="495"/>
      <c r="D122" s="161"/>
      <c r="E122" s="162"/>
      <c r="F122" s="162"/>
      <c r="G122" s="149"/>
      <c r="H122" s="163"/>
      <c r="I122" s="151">
        <f>I116</f>
        <v>0</v>
      </c>
      <c r="J122" s="195"/>
      <c r="K122" s="164"/>
      <c r="L122" s="149">
        <f>K122+L116</f>
        <v>0</v>
      </c>
      <c r="M122" s="163">
        <f>IF(K122&lt;&gt;0,MAX(0,M116+(I122*K122)),M116)</f>
        <v>0</v>
      </c>
      <c r="N122" s="148"/>
      <c r="O122" s="151">
        <f>-K122*J122</f>
        <v>0</v>
      </c>
      <c r="P122" s="152">
        <f>-K122*(J122-I116)</f>
        <v>0</v>
      </c>
      <c r="Q122" s="110"/>
      <c r="R122" s="25"/>
      <c r="S122" s="25"/>
      <c r="T122" s="25"/>
      <c r="U122" s="25"/>
      <c r="V122" s="25"/>
      <c r="W122" s="25"/>
      <c r="X122" s="25"/>
      <c r="Y122" s="25"/>
    </row>
    <row r="123" spans="1:25" ht="18.75" customHeight="1" x14ac:dyDescent="0.3">
      <c r="A123" s="492" t="s">
        <v>62</v>
      </c>
      <c r="B123" s="197"/>
      <c r="C123" s="198"/>
      <c r="D123" s="199"/>
      <c r="E123" s="200" t="s">
        <v>17</v>
      </c>
      <c r="F123" s="201"/>
      <c r="G123" s="202"/>
      <c r="H123" s="203"/>
      <c r="I123" s="199"/>
      <c r="J123" s="201" t="s">
        <v>18</v>
      </c>
      <c r="K123" s="204"/>
      <c r="L123" s="202"/>
      <c r="M123" s="203"/>
      <c r="N123" s="153"/>
      <c r="O123" s="211" t="s">
        <v>31</v>
      </c>
      <c r="P123" s="496" t="s">
        <v>300</v>
      </c>
      <c r="Q123" s="110"/>
      <c r="R123" s="25"/>
      <c r="S123" s="25"/>
      <c r="T123" s="25"/>
      <c r="U123" s="25"/>
      <c r="V123" s="25"/>
      <c r="W123" s="25"/>
      <c r="X123" s="25"/>
      <c r="Y123" s="25"/>
    </row>
    <row r="124" spans="1:25" ht="30.75" customHeight="1" thickBot="1" x14ac:dyDescent="0.35">
      <c r="A124" s="507" t="s">
        <v>300</v>
      </c>
      <c r="B124" s="507" t="s">
        <v>122</v>
      </c>
      <c r="C124" s="508" t="s">
        <v>116</v>
      </c>
      <c r="D124" s="509" t="s">
        <v>61</v>
      </c>
      <c r="E124" s="510" t="s">
        <v>123</v>
      </c>
      <c r="F124" s="510" t="s">
        <v>25</v>
      </c>
      <c r="G124" s="510" t="s">
        <v>108</v>
      </c>
      <c r="H124" s="511" t="s">
        <v>109</v>
      </c>
      <c r="I124" s="509" t="s">
        <v>61</v>
      </c>
      <c r="J124" s="510" t="s">
        <v>123</v>
      </c>
      <c r="K124" s="510" t="s">
        <v>25</v>
      </c>
      <c r="L124" s="510" t="s">
        <v>108</v>
      </c>
      <c r="M124" s="511" t="s">
        <v>109</v>
      </c>
      <c r="N124" s="113"/>
      <c r="O124" s="213" t="s">
        <v>34</v>
      </c>
      <c r="P124" s="497" t="s">
        <v>33</v>
      </c>
      <c r="Q124" s="110"/>
      <c r="R124" s="25"/>
      <c r="S124" s="25"/>
      <c r="T124" s="25"/>
      <c r="U124" s="25"/>
      <c r="V124" s="25"/>
      <c r="W124" s="25"/>
      <c r="X124" s="25"/>
      <c r="Y124" s="25"/>
    </row>
    <row r="125" spans="1:25" ht="31.2" x14ac:dyDescent="0.3">
      <c r="A125" s="171"/>
      <c r="B125" s="154" t="s">
        <v>19</v>
      </c>
      <c r="C125" s="512">
        <v>42109</v>
      </c>
      <c r="D125" s="513">
        <f>IF(G125&lt;&gt;0,ROUND(H125/G125,20),0)</f>
        <v>0</v>
      </c>
      <c r="E125" s="514">
        <v>8.91</v>
      </c>
      <c r="F125" s="156"/>
      <c r="G125" s="157">
        <f>F125+G121</f>
        <v>0</v>
      </c>
      <c r="H125" s="158">
        <f>IF(F125&lt;&gt;0,H121+(D121*F125),H121)</f>
        <v>0</v>
      </c>
      <c r="I125" s="123"/>
      <c r="J125" s="514"/>
      <c r="K125" s="157"/>
      <c r="L125" s="157"/>
      <c r="M125" s="158"/>
      <c r="N125" s="113"/>
      <c r="O125" s="120">
        <f>-F125*E125</f>
        <v>0</v>
      </c>
      <c r="P125" s="127">
        <f>-F125*(E125-D121)</f>
        <v>0</v>
      </c>
      <c r="Q125" s="110"/>
      <c r="R125" s="25"/>
      <c r="S125" s="25"/>
      <c r="T125" s="25"/>
      <c r="U125" s="25"/>
      <c r="V125" s="25"/>
      <c r="W125" s="25"/>
      <c r="X125" s="25"/>
      <c r="Y125" s="25"/>
    </row>
    <row r="126" spans="1:25" ht="31.2" x14ac:dyDescent="0.3">
      <c r="A126" s="128"/>
      <c r="B126" s="114" t="s">
        <v>422</v>
      </c>
      <c r="C126" s="166">
        <v>42104</v>
      </c>
      <c r="D126" s="120"/>
      <c r="E126" s="192"/>
      <c r="F126" s="121"/>
      <c r="G126" s="122"/>
      <c r="H126" s="129"/>
      <c r="I126" s="120">
        <f>IF(L126&lt;&gt;0,ROUND(M126/L126,20),0)</f>
        <v>0</v>
      </c>
      <c r="J126" s="193">
        <v>8.9499999999999993</v>
      </c>
      <c r="K126" s="126"/>
      <c r="L126" s="122">
        <f>K126+L122</f>
        <v>0</v>
      </c>
      <c r="M126" s="127">
        <f>IF(K126&lt;&gt;0,M122+(J126*K126),M122)</f>
        <v>0</v>
      </c>
      <c r="N126" s="113"/>
      <c r="O126" s="120"/>
      <c r="P126" s="127"/>
      <c r="Q126" s="110"/>
      <c r="R126" s="25"/>
      <c r="S126" s="25"/>
      <c r="T126" s="25"/>
      <c r="U126" s="25"/>
      <c r="V126" s="25"/>
      <c r="W126" s="25"/>
      <c r="X126" s="25"/>
      <c r="Y126" s="25"/>
    </row>
    <row r="127" spans="1:25" ht="16.2" thickBot="1" x14ac:dyDescent="0.35">
      <c r="A127" s="493"/>
      <c r="B127" s="142" t="s">
        <v>99</v>
      </c>
      <c r="C127" s="166">
        <v>42159</v>
      </c>
      <c r="D127" s="120">
        <f>D125</f>
        <v>0</v>
      </c>
      <c r="E127" s="121">
        <f>D125</f>
        <v>0</v>
      </c>
      <c r="F127" s="126"/>
      <c r="G127" s="122">
        <f>F127+G125</f>
        <v>0</v>
      </c>
      <c r="H127" s="127">
        <f>IF(F127&lt;&gt;0,H125+(D127*F127),H125)</f>
        <v>0</v>
      </c>
      <c r="I127" s="120"/>
      <c r="J127" s="121"/>
      <c r="K127" s="122"/>
      <c r="L127" s="122"/>
      <c r="M127" s="127"/>
      <c r="N127" s="113"/>
      <c r="O127" s="120">
        <f>IF(B127="Transfer to spouse (no CGT)",0,-F127*E127)</f>
        <v>0</v>
      </c>
      <c r="P127" s="127">
        <f>IF(B127="Transfer to spouse (no CGT)",0,-F127*(E127-D125))</f>
        <v>0</v>
      </c>
      <c r="Q127" s="110"/>
      <c r="R127" s="25"/>
      <c r="S127" s="25"/>
      <c r="T127" s="25"/>
      <c r="U127" s="25"/>
      <c r="V127" s="25"/>
      <c r="W127" s="25"/>
      <c r="X127" s="25"/>
      <c r="Y127" s="25"/>
    </row>
    <row r="128" spans="1:25" ht="15.6" x14ac:dyDescent="0.3">
      <c r="A128" s="153" t="s">
        <v>58</v>
      </c>
      <c r="B128" s="154" t="s">
        <v>59</v>
      </c>
      <c r="C128" s="170"/>
      <c r="D128" s="123">
        <f>IF(G128&lt;&gt;0,ROUND(H128/G128,20),0)</f>
        <v>0</v>
      </c>
      <c r="E128" s="194">
        <v>0</v>
      </c>
      <c r="F128" s="156"/>
      <c r="G128" s="157">
        <f>F128+G127</f>
        <v>0</v>
      </c>
      <c r="H128" s="158">
        <f>IF(G128=0,0,MIN(H127+(D127*F128),H127))</f>
        <v>0</v>
      </c>
      <c r="I128" s="171"/>
      <c r="J128" s="111"/>
      <c r="K128" s="157"/>
      <c r="L128" s="111"/>
      <c r="M128" s="159"/>
      <c r="N128" s="153"/>
      <c r="O128" s="123">
        <f>-F128*E128</f>
        <v>0</v>
      </c>
      <c r="P128" s="158">
        <f>-F128*(E128-D127)</f>
        <v>0</v>
      </c>
      <c r="Q128" s="110"/>
      <c r="R128" s="25"/>
      <c r="S128" s="25"/>
      <c r="T128" s="25"/>
      <c r="U128" s="25"/>
      <c r="V128" s="25"/>
      <c r="W128" s="25"/>
      <c r="X128" s="25"/>
      <c r="Y128" s="25"/>
    </row>
    <row r="129" spans="1:25" ht="16.2" thickBot="1" x14ac:dyDescent="0.35">
      <c r="A129" s="144" t="s">
        <v>58</v>
      </c>
      <c r="B129" s="145" t="s">
        <v>60</v>
      </c>
      <c r="C129" s="172"/>
      <c r="D129" s="161"/>
      <c r="E129" s="162"/>
      <c r="F129" s="162"/>
      <c r="G129" s="149"/>
      <c r="H129" s="163"/>
      <c r="I129" s="151">
        <f>I126</f>
        <v>0</v>
      </c>
      <c r="J129" s="195">
        <v>0</v>
      </c>
      <c r="K129" s="164"/>
      <c r="L129" s="149">
        <f>K129+L126</f>
        <v>0</v>
      </c>
      <c r="M129" s="163">
        <f>IF(K129&lt;&gt;0,MAX(0,M126+(I129*K129)),M126)</f>
        <v>0</v>
      </c>
      <c r="N129" s="144"/>
      <c r="O129" s="151">
        <f>-K129*J129</f>
        <v>0</v>
      </c>
      <c r="P129" s="163">
        <f>-K129*(J129-I126)</f>
        <v>0</v>
      </c>
      <c r="Q129" s="110"/>
      <c r="R129" s="25"/>
      <c r="S129" s="25"/>
      <c r="T129" s="25"/>
      <c r="U129" s="25"/>
      <c r="V129" s="25"/>
      <c r="W129" s="25"/>
      <c r="X129" s="25"/>
      <c r="Y129" s="25"/>
    </row>
    <row r="130" spans="1:25" ht="15.6" x14ac:dyDescent="0.3">
      <c r="A130" s="493"/>
      <c r="B130" s="142" t="s">
        <v>99</v>
      </c>
      <c r="C130" s="166">
        <v>42342</v>
      </c>
      <c r="D130" s="123">
        <f>D127</f>
        <v>0</v>
      </c>
      <c r="E130" s="514">
        <f>D127</f>
        <v>0</v>
      </c>
      <c r="F130" s="156"/>
      <c r="G130" s="157">
        <f>F130+G128</f>
        <v>0</v>
      </c>
      <c r="H130" s="158">
        <f>IF(F130&lt;&gt;0,H127+(D130*F130),H127)</f>
        <v>0</v>
      </c>
      <c r="I130" s="121"/>
      <c r="J130" s="121"/>
      <c r="K130" s="122"/>
      <c r="L130" s="122"/>
      <c r="M130" s="127"/>
      <c r="N130" s="113"/>
      <c r="O130" s="120">
        <f>IF(B130="Transfer to spouse (no CGT)",0,-F130*E130)</f>
        <v>0</v>
      </c>
      <c r="P130" s="127">
        <f>IF(B130="Transfer to spouse (no CGT)",0,-F130*(E130-D125))</f>
        <v>0</v>
      </c>
      <c r="Q130" s="110"/>
      <c r="R130" s="25"/>
      <c r="S130" s="25"/>
      <c r="T130" s="25"/>
      <c r="U130" s="25"/>
      <c r="V130" s="25"/>
      <c r="W130" s="25"/>
      <c r="X130" s="25"/>
      <c r="Y130" s="25"/>
    </row>
    <row r="131" spans="1:25" ht="15.6" x14ac:dyDescent="0.3">
      <c r="A131" s="494"/>
      <c r="B131" s="114" t="s">
        <v>473</v>
      </c>
      <c r="C131" s="166">
        <v>42345</v>
      </c>
      <c r="D131" s="116">
        <f t="shared" ref="D131:D137" si="1">IF(G131&lt;&gt;0,ROUND(H131/G131,20),0)</f>
        <v>0</v>
      </c>
      <c r="E131" s="121">
        <v>23.893444552605299</v>
      </c>
      <c r="F131" s="126"/>
      <c r="G131" s="122">
        <f t="shared" ref="G131:G136" si="2">F131+G130</f>
        <v>0</v>
      </c>
      <c r="H131" s="127">
        <f t="shared" ref="H131:H136" si="3">IF(F131&lt;&gt;0,H130+(E131*F131),H130)</f>
        <v>0</v>
      </c>
      <c r="I131" s="121"/>
      <c r="J131" s="121"/>
      <c r="K131" s="122"/>
      <c r="L131" s="122"/>
      <c r="M131" s="127"/>
      <c r="N131" s="113"/>
      <c r="O131" s="120"/>
      <c r="P131" s="127"/>
      <c r="Q131" s="110"/>
      <c r="R131" s="25"/>
      <c r="S131" s="25"/>
      <c r="T131" s="25"/>
      <c r="U131" s="25"/>
      <c r="V131" s="25"/>
      <c r="W131" s="25"/>
      <c r="X131" s="25"/>
      <c r="Y131" s="25"/>
    </row>
    <row r="132" spans="1:25" ht="15" customHeight="1" x14ac:dyDescent="0.3">
      <c r="A132" s="494"/>
      <c r="B132" s="114" t="s">
        <v>474</v>
      </c>
      <c r="C132" s="166">
        <v>42345</v>
      </c>
      <c r="D132" s="116">
        <f t="shared" si="1"/>
        <v>0</v>
      </c>
      <c r="E132" s="121">
        <v>23.893444552605299</v>
      </c>
      <c r="F132" s="126"/>
      <c r="G132" s="122">
        <f t="shared" si="2"/>
        <v>0</v>
      </c>
      <c r="H132" s="127">
        <f t="shared" si="3"/>
        <v>0</v>
      </c>
      <c r="I132" s="121"/>
      <c r="J132" s="121"/>
      <c r="K132" s="122"/>
      <c r="L132" s="122"/>
      <c r="M132" s="127"/>
      <c r="N132" s="113"/>
      <c r="O132" s="120"/>
      <c r="P132" s="127"/>
      <c r="Q132" s="110"/>
      <c r="R132" s="25"/>
      <c r="S132" s="25"/>
      <c r="T132" s="25"/>
      <c r="U132" s="25"/>
      <c r="V132" s="25"/>
      <c r="W132" s="25"/>
      <c r="X132" s="25"/>
      <c r="Y132" s="25"/>
    </row>
    <row r="133" spans="1:25" ht="15" customHeight="1" x14ac:dyDescent="0.3">
      <c r="A133" s="494"/>
      <c r="B133" s="114" t="s">
        <v>476</v>
      </c>
      <c r="C133" s="166">
        <v>42345</v>
      </c>
      <c r="D133" s="116">
        <f t="shared" si="1"/>
        <v>0</v>
      </c>
      <c r="E133" s="121">
        <v>23.893444552605299</v>
      </c>
      <c r="F133" s="126"/>
      <c r="G133" s="122">
        <f t="shared" si="2"/>
        <v>0</v>
      </c>
      <c r="H133" s="127">
        <f t="shared" si="3"/>
        <v>0</v>
      </c>
      <c r="I133" s="121"/>
      <c r="J133" s="121"/>
      <c r="K133" s="122"/>
      <c r="L133" s="122"/>
      <c r="M133" s="127"/>
      <c r="N133" s="113"/>
      <c r="O133" s="120"/>
      <c r="P133" s="127"/>
      <c r="Q133" s="110"/>
      <c r="R133" s="25"/>
      <c r="S133" s="25"/>
      <c r="T133" s="25"/>
      <c r="U133" s="25"/>
      <c r="V133" s="25"/>
      <c r="W133" s="25"/>
      <c r="X133" s="25"/>
      <c r="Y133" s="25"/>
    </row>
    <row r="134" spans="1:25" ht="15" customHeight="1" x14ac:dyDescent="0.3">
      <c r="A134" s="494"/>
      <c r="B134" s="114" t="s">
        <v>475</v>
      </c>
      <c r="C134" s="166">
        <v>42345</v>
      </c>
      <c r="D134" s="116">
        <f t="shared" si="1"/>
        <v>0</v>
      </c>
      <c r="E134" s="121">
        <v>23.893444552605299</v>
      </c>
      <c r="F134" s="126"/>
      <c r="G134" s="122">
        <f t="shared" si="2"/>
        <v>0</v>
      </c>
      <c r="H134" s="127">
        <f t="shared" si="3"/>
        <v>0</v>
      </c>
      <c r="I134" s="121"/>
      <c r="J134" s="121"/>
      <c r="K134" s="122"/>
      <c r="L134" s="122"/>
      <c r="M134" s="127"/>
      <c r="N134" s="113"/>
      <c r="O134" s="120"/>
      <c r="P134" s="127"/>
      <c r="Q134" s="110"/>
      <c r="R134" s="25"/>
      <c r="S134" s="25"/>
      <c r="T134" s="25"/>
      <c r="U134" s="25"/>
      <c r="V134" s="25"/>
      <c r="W134" s="25"/>
      <c r="X134" s="25"/>
      <c r="Y134" s="25"/>
    </row>
    <row r="135" spans="1:25" ht="15.6" x14ac:dyDescent="0.3">
      <c r="A135" s="494"/>
      <c r="B135" s="114" t="s">
        <v>478</v>
      </c>
      <c r="C135" s="166">
        <v>42346</v>
      </c>
      <c r="D135" s="116">
        <f t="shared" si="1"/>
        <v>0</v>
      </c>
      <c r="E135" s="177">
        <v>0</v>
      </c>
      <c r="F135" s="126"/>
      <c r="G135" s="122">
        <f t="shared" si="2"/>
        <v>0</v>
      </c>
      <c r="H135" s="127">
        <f t="shared" si="3"/>
        <v>0</v>
      </c>
      <c r="I135" s="121"/>
      <c r="J135" s="121"/>
      <c r="K135" s="122"/>
      <c r="L135" s="122"/>
      <c r="M135" s="127"/>
      <c r="N135" s="113"/>
      <c r="O135" s="120"/>
      <c r="P135" s="127"/>
      <c r="Q135" s="110"/>
      <c r="R135" s="25"/>
      <c r="S135" s="25"/>
      <c r="T135" s="25"/>
      <c r="U135" s="25"/>
      <c r="V135" s="25"/>
      <c r="W135" s="25"/>
      <c r="X135" s="25"/>
      <c r="Y135" s="25"/>
    </row>
    <row r="136" spans="1:25" ht="15.6" x14ac:dyDescent="0.3">
      <c r="A136" s="494"/>
      <c r="B136" s="114" t="s">
        <v>478</v>
      </c>
      <c r="C136" s="166">
        <v>42347</v>
      </c>
      <c r="D136" s="116">
        <f t="shared" si="1"/>
        <v>0</v>
      </c>
      <c r="E136" s="121">
        <v>23.893444552605299</v>
      </c>
      <c r="F136" s="126"/>
      <c r="G136" s="122">
        <f t="shared" si="2"/>
        <v>0</v>
      </c>
      <c r="H136" s="127">
        <f t="shared" si="3"/>
        <v>0</v>
      </c>
      <c r="I136" s="121"/>
      <c r="J136" s="121"/>
      <c r="K136" s="122"/>
      <c r="L136" s="122"/>
      <c r="M136" s="127"/>
      <c r="N136" s="113"/>
      <c r="O136" s="120"/>
      <c r="P136" s="127"/>
      <c r="Q136" s="110"/>
      <c r="R136" s="25"/>
      <c r="S136" s="25"/>
      <c r="T136" s="25"/>
      <c r="U136" s="25"/>
      <c r="V136" s="25"/>
      <c r="W136" s="25"/>
      <c r="X136" s="25"/>
      <c r="Y136" s="25"/>
    </row>
    <row r="137" spans="1:25" s="15" customFormat="1" ht="16.2" thickBot="1" x14ac:dyDescent="0.35">
      <c r="A137" s="46"/>
      <c r="B137" s="189" t="s">
        <v>465</v>
      </c>
      <c r="C137" s="166">
        <v>42349</v>
      </c>
      <c r="D137" s="116">
        <f t="shared" si="1"/>
        <v>0</v>
      </c>
      <c r="E137" s="117" t="str">
        <f>IF(K137&lt;0,J137,"")</f>
        <v/>
      </c>
      <c r="F137" s="190" t="str">
        <f>IF(K137&lt;0,-K137,"")</f>
        <v/>
      </c>
      <c r="G137" s="190">
        <f>IF(F137="",G136,F137+G136)</f>
        <v>0</v>
      </c>
      <c r="H137" s="191">
        <f>IF(F137="",H136,H136+(E137*F137))</f>
        <v>0</v>
      </c>
      <c r="I137" s="117">
        <f>IF(L137&lt;&gt;0,ROUND(M137/L137,20),0)</f>
        <v>0</v>
      </c>
      <c r="J137" s="117">
        <f>I126</f>
        <v>0</v>
      </c>
      <c r="K137" s="261">
        <f>-L126</f>
        <v>0</v>
      </c>
      <c r="L137" s="190">
        <f>K137+L126</f>
        <v>0</v>
      </c>
      <c r="M137" s="191">
        <f>IF(K137&lt;&gt;0,M126+(J137*K137),M126)</f>
        <v>0</v>
      </c>
      <c r="N137" s="178"/>
      <c r="O137" s="116"/>
      <c r="P137" s="191"/>
      <c r="Q137" s="110"/>
      <c r="R137" s="44"/>
      <c r="S137" s="44"/>
      <c r="T137" s="44"/>
      <c r="U137" s="44"/>
      <c r="V137" s="44"/>
      <c r="W137" s="44"/>
      <c r="X137" s="44"/>
      <c r="Y137" s="44"/>
    </row>
    <row r="138" spans="1:25" s="15" customFormat="1" ht="16.2" thickBot="1" x14ac:dyDescent="0.35">
      <c r="A138" s="515"/>
      <c r="B138" s="516" t="s">
        <v>477</v>
      </c>
      <c r="C138" s="517">
        <v>42349</v>
      </c>
      <c r="D138" s="518">
        <f>D137</f>
        <v>0</v>
      </c>
      <c r="E138" s="519">
        <v>23.893444552605299</v>
      </c>
      <c r="F138" s="520">
        <f>-G137</f>
        <v>0</v>
      </c>
      <c r="G138" s="520">
        <f>F138+G137</f>
        <v>0</v>
      </c>
      <c r="H138" s="521">
        <f>IF(G138=0,0,MIN(H137+(D137*F138),H137))</f>
        <v>0</v>
      </c>
      <c r="I138" s="522">
        <f>IF(L138&lt;&gt;0,ROUND(M138/L138,2),0)</f>
        <v>0</v>
      </c>
      <c r="J138" s="522"/>
      <c r="K138" s="520"/>
      <c r="L138" s="520">
        <f>L137</f>
        <v>0</v>
      </c>
      <c r="M138" s="523">
        <f>M137</f>
        <v>0</v>
      </c>
      <c r="N138" s="524"/>
      <c r="O138" s="547">
        <f>C160</f>
        <v>0</v>
      </c>
      <c r="P138" s="548">
        <f>H160</f>
        <v>0</v>
      </c>
      <c r="Q138" s="110"/>
      <c r="R138" s="44"/>
      <c r="S138" s="44"/>
      <c r="T138" s="44"/>
      <c r="U138" s="44"/>
      <c r="V138" s="44"/>
      <c r="W138" s="44"/>
      <c r="X138" s="44"/>
      <c r="Y138" s="44"/>
    </row>
    <row r="139" spans="1:25" ht="13.8" thickBot="1" x14ac:dyDescent="0.3">
      <c r="B139" s="538"/>
      <c r="C139" s="539"/>
      <c r="D139" s="539"/>
      <c r="E139" s="539"/>
      <c r="F139" s="539"/>
      <c r="G139" s="539"/>
      <c r="H139" s="539"/>
      <c r="I139" s="539"/>
      <c r="J139" s="539"/>
      <c r="K139" s="540"/>
      <c r="L139" s="539"/>
      <c r="M139" s="539"/>
      <c r="N139" s="539"/>
      <c r="O139" s="539"/>
      <c r="P139" s="539"/>
    </row>
    <row r="140" spans="1:25" ht="15.6" x14ac:dyDescent="0.3">
      <c r="A140" s="490"/>
      <c r="B140" s="569" t="s">
        <v>479</v>
      </c>
      <c r="C140" s="570"/>
      <c r="D140" s="570"/>
      <c r="E140" s="570"/>
      <c r="F140" s="570"/>
      <c r="G140" s="570"/>
      <c r="H140" s="570"/>
      <c r="I140" s="570"/>
      <c r="J140" s="570"/>
      <c r="K140" s="571"/>
      <c r="L140" s="570"/>
      <c r="M140" s="570"/>
      <c r="N140" s="570"/>
      <c r="O140" s="570"/>
      <c r="P140" s="541"/>
    </row>
    <row r="141" spans="1:25" ht="15" x14ac:dyDescent="0.25">
      <c r="A141" s="490"/>
      <c r="B141" s="572" t="str">
        <f>"You have stated on the Instruction &amp; Apportionment tab that you were a "&amp;'Instruction &amp; apportionment'!C36&amp;" employee as at 1 August 2015."</f>
        <v>You have stated on the Instruction &amp; Apportionment tab that you were a  employee as at 1 August 2015.</v>
      </c>
      <c r="C141" s="489"/>
      <c r="D141" s="489"/>
      <c r="E141" s="489"/>
      <c r="F141" s="489"/>
      <c r="G141" s="489"/>
      <c r="H141" s="489"/>
      <c r="I141" s="489"/>
      <c r="J141" s="489"/>
      <c r="K141" s="536"/>
      <c r="L141" s="489"/>
      <c r="M141" s="489"/>
      <c r="N141" s="489"/>
      <c r="O141" s="489"/>
      <c r="P141" s="490"/>
    </row>
    <row r="142" spans="1:25" ht="15" x14ac:dyDescent="0.25">
      <c r="A142" s="490"/>
      <c r="B142" s="573" t="str">
        <f>IF('Instruction &amp; apportionment'!C36="","YOU MUST ENTER CURRENT OR FORMER EMPLOYEE ON THE INSTRUCTIONS TAB","")</f>
        <v>YOU MUST ENTER CURRENT OR FORMER EMPLOYEE ON THE INSTRUCTIONS TAB</v>
      </c>
      <c r="C142" s="489"/>
      <c r="D142" s="489"/>
      <c r="E142" s="489"/>
      <c r="F142" s="489"/>
      <c r="G142" s="489"/>
      <c r="H142" s="489"/>
      <c r="I142" s="489"/>
      <c r="J142" s="489"/>
      <c r="K142" s="536"/>
      <c r="L142" s="489"/>
      <c r="M142" s="489"/>
      <c r="N142" s="489"/>
      <c r="O142" s="489"/>
      <c r="P142" s="490"/>
    </row>
    <row r="143" spans="1:25" ht="15" x14ac:dyDescent="0.25">
      <c r="A143" s="490"/>
      <c r="B143" s="572" t="s">
        <v>491</v>
      </c>
      <c r="C143" s="489"/>
      <c r="D143" s="537"/>
      <c r="E143" s="489"/>
      <c r="F143" s="489"/>
      <c r="G143" s="536"/>
      <c r="H143" s="537"/>
      <c r="I143" s="489"/>
      <c r="J143" s="489"/>
      <c r="K143" s="536"/>
      <c r="L143" s="489"/>
      <c r="M143" s="489"/>
      <c r="N143" s="489"/>
      <c r="O143" s="489"/>
      <c r="P143" s="490"/>
    </row>
    <row r="144" spans="1:25" ht="13.8" thickBot="1" x14ac:dyDescent="0.3">
      <c r="A144" s="490"/>
      <c r="B144" s="574"/>
      <c r="C144" s="489"/>
      <c r="D144" s="537"/>
      <c r="E144" s="489"/>
      <c r="F144" s="489"/>
      <c r="G144" s="536"/>
      <c r="H144" s="537"/>
      <c r="I144" s="489"/>
      <c r="J144" s="489"/>
      <c r="K144" s="536"/>
      <c r="L144" s="489"/>
      <c r="M144" s="489"/>
      <c r="N144" s="489"/>
      <c r="O144" s="489"/>
      <c r="P144" s="490"/>
    </row>
    <row r="145" spans="1:18" ht="13.8" thickBot="1" x14ac:dyDescent="0.3">
      <c r="A145" s="490"/>
      <c r="B145" s="575"/>
      <c r="C145" s="560" t="s">
        <v>483</v>
      </c>
      <c r="D145" s="616" t="s">
        <v>496</v>
      </c>
      <c r="E145" s="616"/>
      <c r="F145" s="595" t="s">
        <v>290</v>
      </c>
      <c r="G145" s="595"/>
      <c r="H145" s="616" t="s">
        <v>497</v>
      </c>
      <c r="I145" s="616"/>
      <c r="J145" s="595" t="s">
        <v>484</v>
      </c>
      <c r="K145" s="595"/>
      <c r="L145" s="616" t="s">
        <v>498</v>
      </c>
      <c r="M145" s="616"/>
      <c r="N145" s="670" t="s">
        <v>504</v>
      </c>
      <c r="O145" s="671"/>
      <c r="P145" s="576" t="s">
        <v>506</v>
      </c>
    </row>
    <row r="146" spans="1:18" ht="13.5" customHeight="1" thickBot="1" x14ac:dyDescent="0.35">
      <c r="A146" s="490"/>
      <c r="B146" s="577" t="s">
        <v>481</v>
      </c>
      <c r="C146" s="546">
        <f>IF('Instruction &amp; apportionment'!$C$36="Current",9.58193967332559,11.1234445526053)</f>
        <v>11.123444552605299</v>
      </c>
      <c r="D146" s="651">
        <f>IF('Instruction &amp; apportionment'!$C$36="Current",16.8833003026053,16.8834445526053)</f>
        <v>16.883444552605301</v>
      </c>
      <c r="E146" s="652"/>
      <c r="F146" s="650">
        <f>-$F$138-H146</f>
        <v>0</v>
      </c>
      <c r="G146" s="639"/>
      <c r="H146" s="646">
        <f>$F$132+$F$134+$F$135+$F$136</f>
        <v>0</v>
      </c>
      <c r="I146" s="646"/>
      <c r="J146" s="638">
        <f>C146*F146</f>
        <v>0</v>
      </c>
      <c r="K146" s="639"/>
      <c r="L146" s="638">
        <f>D146*H146</f>
        <v>0</v>
      </c>
      <c r="M146" s="639"/>
      <c r="N146" s="638">
        <f>J146+L146+P146</f>
        <v>0</v>
      </c>
      <c r="O146" s="639"/>
      <c r="P146" s="578">
        <f>-SUM(P147:P149)</f>
        <v>0</v>
      </c>
      <c r="R146" s="115"/>
    </row>
    <row r="147" spans="1:18" ht="13.5" customHeight="1" thickBot="1" x14ac:dyDescent="0.35">
      <c r="A147" s="490"/>
      <c r="B147" s="577" t="s">
        <v>492</v>
      </c>
      <c r="C147" s="546">
        <f>IF('Instruction &amp; apportionment'!$C$36="Current",7.30136062927971,12.77)</f>
        <v>12.77</v>
      </c>
      <c r="D147" s="653">
        <f>IF('Instruction &amp; apportionment'!$C$36="Current",0,7.01)</f>
        <v>7.01</v>
      </c>
      <c r="E147" s="654"/>
      <c r="F147" s="650">
        <f>-$F$138-H147</f>
        <v>0</v>
      </c>
      <c r="G147" s="639"/>
      <c r="H147" s="646">
        <f>$F$132+$F$134+$F$135+$F$136</f>
        <v>0</v>
      </c>
      <c r="I147" s="646"/>
      <c r="J147" s="638">
        <f>C147*F147</f>
        <v>0</v>
      </c>
      <c r="K147" s="639"/>
      <c r="L147" s="638">
        <f>D147*H147</f>
        <v>0</v>
      </c>
      <c r="M147" s="639"/>
      <c r="N147" s="638">
        <f>J147+L147+P147</f>
        <v>0</v>
      </c>
      <c r="O147" s="639"/>
      <c r="P147" s="578">
        <f>ROUND(SUM(J147,L147),0)-SUM(J147:M147)</f>
        <v>0</v>
      </c>
      <c r="R147" s="115"/>
    </row>
    <row r="148" spans="1:18" ht="13.8" thickBot="1" x14ac:dyDescent="0.3">
      <c r="A148" s="490"/>
      <c r="B148" s="577" t="s">
        <v>493</v>
      </c>
      <c r="C148" s="546">
        <f>IF('Instruction &amp; apportionment'!$C$36="Current",6.832863,0)</f>
        <v>0</v>
      </c>
      <c r="D148" s="653">
        <f>IF('Instruction &amp; apportionment'!$C$36="Current",6.832863,0)</f>
        <v>0</v>
      </c>
      <c r="E148" s="654"/>
      <c r="F148" s="650">
        <f>-$F$138-H148</f>
        <v>0</v>
      </c>
      <c r="G148" s="639"/>
      <c r="H148" s="646">
        <f>$F$132+$F$134+$F$135+$F$136</f>
        <v>0</v>
      </c>
      <c r="I148" s="646"/>
      <c r="J148" s="638">
        <f>C148*F148</f>
        <v>0</v>
      </c>
      <c r="K148" s="639"/>
      <c r="L148" s="638">
        <f>D148*H148</f>
        <v>0</v>
      </c>
      <c r="M148" s="639"/>
      <c r="N148" s="638">
        <f>J148+L148+P148</f>
        <v>0</v>
      </c>
      <c r="O148" s="639"/>
      <c r="P148" s="578">
        <f>ROUND(SUM(J148,L148),0)-SUM(J148:M148)</f>
        <v>0</v>
      </c>
    </row>
    <row r="149" spans="1:18" ht="13.8" thickBot="1" x14ac:dyDescent="0.3">
      <c r="A149" s="490"/>
      <c r="B149" s="577" t="s">
        <v>482</v>
      </c>
      <c r="C149" s="546">
        <f>IF('Instruction &amp; apportionment'!$C$36="Current",0.17728125,0)</f>
        <v>0</v>
      </c>
      <c r="D149" s="653">
        <f>IF('Instruction &amp; apportionment'!$C$36="Current",0.17728125,0)</f>
        <v>0</v>
      </c>
      <c r="E149" s="654"/>
      <c r="F149" s="650">
        <f>-$F$138-H149</f>
        <v>0</v>
      </c>
      <c r="G149" s="639"/>
      <c r="H149" s="646">
        <f>$F$132+$F$134+$F$135+$F$136</f>
        <v>0</v>
      </c>
      <c r="I149" s="646"/>
      <c r="J149" s="638">
        <f>C149*F149</f>
        <v>0</v>
      </c>
      <c r="K149" s="639"/>
      <c r="L149" s="638">
        <f>D149*H149</f>
        <v>0</v>
      </c>
      <c r="M149" s="639"/>
      <c r="N149" s="638">
        <f>J149+L149+P149</f>
        <v>0</v>
      </c>
      <c r="O149" s="639"/>
      <c r="P149" s="578">
        <f>ROUND(SUM(J149,L149),1)-SUM(J149:M149)</f>
        <v>0</v>
      </c>
    </row>
    <row r="150" spans="1:18" ht="13.8" thickBot="1" x14ac:dyDescent="0.3">
      <c r="A150" s="490"/>
      <c r="B150" s="575"/>
      <c r="C150" s="534"/>
      <c r="D150" s="616"/>
      <c r="E150" s="616"/>
      <c r="F150" s="595"/>
      <c r="G150" s="595"/>
      <c r="H150" s="616"/>
      <c r="I150" s="616"/>
      <c r="J150" s="595"/>
      <c r="K150" s="595"/>
      <c r="L150" s="616"/>
      <c r="M150" s="616"/>
      <c r="N150" s="595"/>
      <c r="O150" s="595"/>
      <c r="P150" s="579"/>
    </row>
    <row r="151" spans="1:18" x14ac:dyDescent="0.25">
      <c r="A151" s="490"/>
      <c r="B151" s="574"/>
      <c r="C151" s="489"/>
      <c r="D151" s="537"/>
      <c r="E151" s="489"/>
      <c r="F151" s="489"/>
      <c r="G151" s="536"/>
      <c r="H151" s="647"/>
      <c r="I151" s="647"/>
      <c r="J151" s="648">
        <f>SUM(J146:K149)</f>
        <v>0</v>
      </c>
      <c r="K151" s="649"/>
      <c r="L151" s="489"/>
      <c r="M151" s="565">
        <f>SUM(L146:M149)</f>
        <v>0</v>
      </c>
      <c r="N151" s="489"/>
      <c r="O151" s="565">
        <f>SUM(N146:O149)</f>
        <v>0</v>
      </c>
      <c r="P151" s="567">
        <f>SUM(N146:P149)</f>
        <v>0</v>
      </c>
    </row>
    <row r="152" spans="1:18" ht="15" x14ac:dyDescent="0.25">
      <c r="A152" s="490"/>
      <c r="B152" s="572" t="s">
        <v>488</v>
      </c>
      <c r="C152" s="489"/>
      <c r="D152" s="489"/>
      <c r="E152" s="489"/>
      <c r="F152" s="489"/>
      <c r="G152" s="489"/>
      <c r="H152" s="489"/>
      <c r="I152" s="489"/>
      <c r="J152" s="489"/>
      <c r="K152" s="564" t="s">
        <v>502</v>
      </c>
      <c r="L152" s="489"/>
      <c r="M152" s="566" t="s">
        <v>503</v>
      </c>
      <c r="N152" s="489"/>
      <c r="O152" s="566" t="s">
        <v>505</v>
      </c>
      <c r="P152" s="568" t="s">
        <v>507</v>
      </c>
    </row>
    <row r="153" spans="1:18" ht="13.8" thickBot="1" x14ac:dyDescent="0.3">
      <c r="A153" s="490"/>
      <c r="B153" s="574"/>
      <c r="C153" s="489"/>
      <c r="D153" s="489"/>
      <c r="E153" s="489"/>
      <c r="F153" s="489"/>
      <c r="G153" s="489"/>
      <c r="H153" s="489"/>
      <c r="I153" s="489"/>
      <c r="J153" s="489"/>
      <c r="K153" s="536"/>
      <c r="L153" s="489"/>
      <c r="M153" s="489"/>
      <c r="N153" s="489"/>
      <c r="O153" s="489"/>
      <c r="P153" s="490"/>
    </row>
    <row r="154" spans="1:18" ht="13.8" thickBot="1" x14ac:dyDescent="0.3">
      <c r="A154" s="490"/>
      <c r="B154" s="575"/>
      <c r="C154" s="644" t="s">
        <v>485</v>
      </c>
      <c r="D154" s="644"/>
      <c r="E154" s="644" t="s">
        <v>486</v>
      </c>
      <c r="F154" s="644"/>
      <c r="G154" s="562" t="s">
        <v>487</v>
      </c>
      <c r="H154" s="489"/>
      <c r="I154" s="489"/>
      <c r="J154" s="489"/>
      <c r="K154" s="536"/>
      <c r="L154" s="489"/>
      <c r="M154" s="489"/>
      <c r="N154" s="489"/>
      <c r="O154" s="489"/>
      <c r="P154" s="490"/>
    </row>
    <row r="155" spans="1:18" ht="13.8" thickBot="1" x14ac:dyDescent="0.3">
      <c r="A155" s="490"/>
      <c r="B155" s="575" t="s">
        <v>238</v>
      </c>
      <c r="C155" s="646">
        <f>-F138</f>
        <v>0</v>
      </c>
      <c r="D155" s="646"/>
      <c r="E155" s="645">
        <f>D138</f>
        <v>0</v>
      </c>
      <c r="F155" s="645"/>
      <c r="G155" s="535">
        <f>H137</f>
        <v>0</v>
      </c>
      <c r="H155" s="537"/>
      <c r="I155" s="489"/>
      <c r="J155" s="489"/>
      <c r="K155" s="536"/>
      <c r="L155" s="489"/>
      <c r="M155" s="489"/>
      <c r="N155" s="489"/>
      <c r="O155" s="489"/>
      <c r="P155" s="490"/>
    </row>
    <row r="156" spans="1:18" x14ac:dyDescent="0.25">
      <c r="A156" s="490"/>
      <c r="B156" s="574"/>
      <c r="C156" s="489"/>
      <c r="D156" s="489"/>
      <c r="E156" s="489"/>
      <c r="F156" s="489"/>
      <c r="G156" s="489"/>
      <c r="H156" s="489"/>
      <c r="I156" s="489"/>
      <c r="J156" s="489"/>
      <c r="K156" s="536"/>
      <c r="L156" s="489"/>
      <c r="M156" s="489"/>
      <c r="N156" s="489"/>
      <c r="O156" s="489"/>
      <c r="P156" s="490"/>
    </row>
    <row r="157" spans="1:18" ht="15" x14ac:dyDescent="0.25">
      <c r="A157" s="490"/>
      <c r="B157" s="572" t="s">
        <v>494</v>
      </c>
      <c r="C157" s="489"/>
      <c r="D157" s="489"/>
      <c r="E157" s="489"/>
      <c r="F157" s="489"/>
      <c r="G157" s="489"/>
      <c r="H157" s="489"/>
      <c r="I157" s="489"/>
      <c r="J157" s="489"/>
      <c r="K157" s="536"/>
      <c r="L157" s="489"/>
      <c r="M157" s="489"/>
      <c r="N157" s="489"/>
      <c r="O157" s="489"/>
      <c r="P157" s="490"/>
    </row>
    <row r="158" spans="1:18" ht="13.8" thickBot="1" x14ac:dyDescent="0.3">
      <c r="A158" s="490"/>
      <c r="B158" s="574"/>
      <c r="C158" s="489"/>
      <c r="D158" s="489"/>
      <c r="E158" s="489"/>
      <c r="F158" s="489"/>
      <c r="G158" s="489"/>
      <c r="H158" s="489"/>
      <c r="I158" s="489"/>
      <c r="J158" s="489"/>
      <c r="K158" s="536"/>
      <c r="L158" s="489"/>
      <c r="M158" s="489"/>
      <c r="N158" s="489"/>
      <c r="O158" s="489"/>
      <c r="P158" s="490"/>
    </row>
    <row r="159" spans="1:18" ht="13.8" thickBot="1" x14ac:dyDescent="0.3">
      <c r="A159" s="490"/>
      <c r="B159" s="575"/>
      <c r="C159" s="560" t="s">
        <v>489</v>
      </c>
      <c r="D159" s="595" t="s">
        <v>508</v>
      </c>
      <c r="E159" s="595"/>
      <c r="F159" s="595"/>
      <c r="G159" s="560" t="s">
        <v>238</v>
      </c>
      <c r="H159" s="595" t="s">
        <v>490</v>
      </c>
      <c r="I159" s="595"/>
      <c r="J159" s="643"/>
      <c r="K159" s="641"/>
      <c r="L159" s="641"/>
      <c r="M159" s="641"/>
      <c r="N159" s="641"/>
      <c r="O159" s="642"/>
      <c r="P159" s="490"/>
    </row>
    <row r="160" spans="1:18" ht="13.8" thickBot="1" x14ac:dyDescent="0.3">
      <c r="A160" s="490"/>
      <c r="B160" s="577" t="s">
        <v>481</v>
      </c>
      <c r="C160" s="535">
        <f>N146</f>
        <v>0</v>
      </c>
      <c r="D160" s="595"/>
      <c r="E160" s="595"/>
      <c r="F160" s="595"/>
      <c r="G160" s="583">
        <f>IF(F138=0,0,(C160/SUM($N$146:$O$149))*$G$155)</f>
        <v>0</v>
      </c>
      <c r="H160" s="616">
        <f>C160-G160</f>
        <v>0</v>
      </c>
      <c r="I160" s="595"/>
      <c r="J160" s="643"/>
      <c r="K160" s="641"/>
      <c r="L160" s="641"/>
      <c r="M160" s="641"/>
      <c r="N160" s="641"/>
      <c r="O160" s="642"/>
      <c r="P160" s="490"/>
    </row>
    <row r="161" spans="1:16" ht="13.8" thickBot="1" x14ac:dyDescent="0.3">
      <c r="A161" s="490"/>
      <c r="B161" s="577" t="s">
        <v>492</v>
      </c>
      <c r="C161" s="534"/>
      <c r="D161" s="616">
        <f>N147</f>
        <v>0</v>
      </c>
      <c r="E161" s="595"/>
      <c r="F161" s="595"/>
      <c r="G161" s="583">
        <f>IF(F138=0,0,(D161/SUM($N$146:$O$149))*$G$155)</f>
        <v>0</v>
      </c>
      <c r="H161" s="595"/>
      <c r="I161" s="595"/>
      <c r="J161" s="640" t="s">
        <v>509</v>
      </c>
      <c r="K161" s="641"/>
      <c r="L161" s="641"/>
      <c r="M161" s="641"/>
      <c r="N161" s="641"/>
      <c r="O161" s="642"/>
      <c r="P161" s="490"/>
    </row>
    <row r="162" spans="1:16" ht="13.8" thickBot="1" x14ac:dyDescent="0.3">
      <c r="A162" s="490"/>
      <c r="B162" s="577" t="s">
        <v>493</v>
      </c>
      <c r="C162" s="534"/>
      <c r="D162" s="616">
        <f>N148</f>
        <v>0</v>
      </c>
      <c r="E162" s="595"/>
      <c r="F162" s="595"/>
      <c r="G162" s="561">
        <f>IF(F138=0,0,(D162/SUM($N$146:$O$149))*$G$155)</f>
        <v>0</v>
      </c>
      <c r="H162" s="595"/>
      <c r="I162" s="595"/>
      <c r="J162" s="640" t="s">
        <v>509</v>
      </c>
      <c r="K162" s="641"/>
      <c r="L162" s="641"/>
      <c r="M162" s="641"/>
      <c r="N162" s="641"/>
      <c r="O162" s="642"/>
      <c r="P162" s="490"/>
    </row>
    <row r="163" spans="1:16" ht="13.8" thickBot="1" x14ac:dyDescent="0.3">
      <c r="A163" s="490"/>
      <c r="B163" s="577" t="s">
        <v>482</v>
      </c>
      <c r="C163" s="534"/>
      <c r="D163" s="616">
        <f>N149</f>
        <v>0</v>
      </c>
      <c r="E163" s="595"/>
      <c r="F163" s="595"/>
      <c r="G163" s="561">
        <f>IF(F138=0,0,(D163/SUM($N$146:$O$149))*$G$155)</f>
        <v>0</v>
      </c>
      <c r="H163" s="595"/>
      <c r="I163" s="595"/>
      <c r="J163" s="640" t="s">
        <v>509</v>
      </c>
      <c r="K163" s="641"/>
      <c r="L163" s="641"/>
      <c r="M163" s="641"/>
      <c r="N163" s="641"/>
      <c r="O163" s="642"/>
      <c r="P163" s="490"/>
    </row>
    <row r="164" spans="1:16" ht="13.8" thickBot="1" x14ac:dyDescent="0.3">
      <c r="A164" s="490"/>
      <c r="B164" s="580"/>
      <c r="C164" s="542"/>
      <c r="D164" s="542"/>
      <c r="E164" s="542"/>
      <c r="F164" s="542"/>
      <c r="G164" s="581">
        <f>SUM(G160:G163)</f>
        <v>0</v>
      </c>
      <c r="H164" s="582"/>
      <c r="I164" s="542"/>
      <c r="J164" s="542"/>
      <c r="K164" s="543"/>
      <c r="L164" s="542"/>
      <c r="M164" s="542"/>
      <c r="N164" s="542"/>
      <c r="O164" s="542"/>
      <c r="P164" s="544"/>
    </row>
    <row r="168" spans="1:16" x14ac:dyDescent="0.25">
      <c r="D168" s="550"/>
      <c r="E168" s="550"/>
      <c r="F168" s="550"/>
      <c r="G168" s="550"/>
    </row>
    <row r="169" spans="1:16" x14ac:dyDescent="0.25">
      <c r="D169" s="550"/>
      <c r="E169" s="550"/>
      <c r="F169" s="550"/>
      <c r="G169" s="550"/>
    </row>
    <row r="170" spans="1:16" x14ac:dyDescent="0.25">
      <c r="D170" s="550"/>
      <c r="E170" s="550"/>
      <c r="F170" s="550"/>
      <c r="G170" s="550"/>
    </row>
    <row r="171" spans="1:16" x14ac:dyDescent="0.25">
      <c r="D171" s="550"/>
      <c r="E171" s="550"/>
      <c r="F171" s="550"/>
      <c r="G171" s="550"/>
    </row>
    <row r="172" spans="1:16" x14ac:dyDescent="0.25">
      <c r="D172" s="550"/>
      <c r="E172" s="550"/>
      <c r="F172" s="550"/>
      <c r="G172" s="550"/>
    </row>
  </sheetData>
  <mergeCells count="59">
    <mergeCell ref="R18:T20"/>
    <mergeCell ref="R87:T91"/>
    <mergeCell ref="D145:E145"/>
    <mergeCell ref="F145:G145"/>
    <mergeCell ref="H145:I145"/>
    <mergeCell ref="J145:K145"/>
    <mergeCell ref="N145:O145"/>
    <mergeCell ref="L145:M145"/>
    <mergeCell ref="D150:E150"/>
    <mergeCell ref="F146:G146"/>
    <mergeCell ref="F147:G147"/>
    <mergeCell ref="F148:G148"/>
    <mergeCell ref="F149:G149"/>
    <mergeCell ref="F150:G150"/>
    <mergeCell ref="D146:E146"/>
    <mergeCell ref="D147:E147"/>
    <mergeCell ref="D148:E148"/>
    <mergeCell ref="D149:E149"/>
    <mergeCell ref="H151:I151"/>
    <mergeCell ref="J146:K146"/>
    <mergeCell ref="J147:K147"/>
    <mergeCell ref="J148:K148"/>
    <mergeCell ref="J149:K149"/>
    <mergeCell ref="J150:K150"/>
    <mergeCell ref="J151:K151"/>
    <mergeCell ref="H146:I146"/>
    <mergeCell ref="H147:I147"/>
    <mergeCell ref="H148:I148"/>
    <mergeCell ref="H149:I149"/>
    <mergeCell ref="H150:I150"/>
    <mergeCell ref="E154:F154"/>
    <mergeCell ref="E155:F155"/>
    <mergeCell ref="C154:D154"/>
    <mergeCell ref="C155:D155"/>
    <mergeCell ref="D159:F159"/>
    <mergeCell ref="H159:I159"/>
    <mergeCell ref="D160:F160"/>
    <mergeCell ref="D161:F161"/>
    <mergeCell ref="D162:F162"/>
    <mergeCell ref="J159:O159"/>
    <mergeCell ref="J160:O160"/>
    <mergeCell ref="J161:O161"/>
    <mergeCell ref="J162:O162"/>
    <mergeCell ref="J163:O163"/>
    <mergeCell ref="D163:F163"/>
    <mergeCell ref="H160:I160"/>
    <mergeCell ref="H161:I161"/>
    <mergeCell ref="H162:I162"/>
    <mergeCell ref="H163:I163"/>
    <mergeCell ref="N146:O146"/>
    <mergeCell ref="N147:O147"/>
    <mergeCell ref="N148:O148"/>
    <mergeCell ref="N149:O149"/>
    <mergeCell ref="N150:O150"/>
    <mergeCell ref="L146:M146"/>
    <mergeCell ref="L147:M147"/>
    <mergeCell ref="L148:M148"/>
    <mergeCell ref="L149:M149"/>
    <mergeCell ref="L150:M150"/>
  </mergeCells>
  <phoneticPr fontId="3" type="noConversion"/>
  <dataValidations count="25">
    <dataValidation type="whole" allowBlank="1" showInputMessage="1" showErrorMessage="1" errorTitle="Share Sales or Transfers" error="Enter only negative numbers eg -600" promptTitle="Share Sales or Transfers" prompt="Enter as negative number eg  -600 " sqref="K65 F60:F61 F54 F63 F8 F19 F58 K55 F50:F51 K49 F48 K41 F35 F40 F44 K34 K26 F33 K20 F37 F29 F25 F21:F22 K71 F70 F66:F67 K84 F85:F86 F74 K90 F89 F98 K100 F95:F96 F101:F102 F93 K106 F105 F76:F77 F79:F80 F114 K116 F111:F112 F117:F118 F109 F121 K122 K137 F125 F127:F128 F130 K129" xr:uid="{00000000-0002-0000-0300-000000000000}">
      <formula1>-10000000</formula1>
      <formula2>0</formula2>
    </dataValidation>
    <dataValidation type="list" allowBlank="1" showInputMessage="1" showErrorMessage="1" sqref="B35 B60:B61 B31 B15 B21 B50 B46 B64 B66 B101 B80 B85 B95:B96 B99 B76:B77 B117 B111:B112 B115 B127 B130" xr:uid="{00000000-0002-0000-0300-000001000000}">
      <formula1>"Transfer to spouse (no CGT),Transfer to Trust/Other (CGT applies)"</formula1>
    </dataValidation>
    <dataValidation type="whole" allowBlank="1" showInputMessage="1" showErrorMessage="1" errorTitle="Share Sales or Transfers" error="Enter only negative numbers eg -600" promptTitle="Share Sales or Transfers" prompt="Enter sale amount as negative number eg  -600 " sqref="F46 F31 F15 F64 F99 F115" xr:uid="{00000000-0002-0000-0300-000002000000}">
      <formula1>-10000000</formula1>
      <formula2>0</formula2>
    </dataValidation>
    <dataValidation type="whole" allowBlank="1" showErrorMessage="1" errorTitle="Share Purchases / Awards" error="Enter as positive number only eg 4000" sqref="F68:F69 F52:F53 F9:F11 F47 K45 F38:F39 K36 F32 K16 K30 F23:F24 F17:F18 K59 F62 F87:F88 K75 F81 F103:F104 F113 F97 F78 F119:F120 K110 K94 K126 F131:F136" xr:uid="{00000000-0002-0000-0300-000003000000}">
      <formula1>0</formula1>
      <formula2>10000000</formula2>
    </dataValidation>
    <dataValidation type="list" allowBlank="1" showInputMessage="1" showErrorMessage="1" sqref="C8" xr:uid="{00000000-0002-0000-0300-000004000000}">
      <formula1>"08/04/2008,11/04/2008"</formula1>
    </dataValidation>
    <dataValidation type="list" allowBlank="1" showInputMessage="1" showErrorMessage="1" sqref="E9" xr:uid="{00000000-0002-0000-0300-000005000000}">
      <formula1>$V$9:$W$9</formula1>
    </dataValidation>
    <dataValidation type="list" allowBlank="1" showInputMessage="1" showErrorMessage="1" sqref="E10" xr:uid="{00000000-0002-0000-0300-000006000000}">
      <formula1>$V$10:$W$10</formula1>
    </dataValidation>
    <dataValidation type="list" allowBlank="1" showInputMessage="1" showErrorMessage="1" sqref="E11" xr:uid="{00000000-0002-0000-0300-000007000000}">
      <formula1>$V$11:$W$11</formula1>
    </dataValidation>
    <dataValidation type="list" allowBlank="1" showInputMessage="1" showErrorMessage="1" sqref="E17:E18 J16" xr:uid="{00000000-0002-0000-0300-000008000000}">
      <formula1>$V$17:$W$17</formula1>
    </dataValidation>
    <dataValidation type="list" allowBlank="1" showInputMessage="1" showErrorMessage="1" sqref="E23:E24" xr:uid="{00000000-0002-0000-0300-000009000000}">
      <formula1>$V$22:$W$22</formula1>
    </dataValidation>
    <dataValidation type="list" allowBlank="1" showInputMessage="1" showErrorMessage="1" sqref="E32" xr:uid="{00000000-0002-0000-0300-00000A000000}">
      <formula1>$V$32:$W$32</formula1>
    </dataValidation>
    <dataValidation type="list" allowBlank="1" showInputMessage="1" showErrorMessage="1" sqref="E38:E39 J36 J45" xr:uid="{00000000-0002-0000-0300-00000B000000}">
      <formula1>$V$37:$W$37</formula1>
    </dataValidation>
    <dataValidation type="list" allowBlank="1" showInputMessage="1" showErrorMessage="1" sqref="E47" xr:uid="{00000000-0002-0000-0300-00000C000000}">
      <formula1>$V$47:$W$47</formula1>
    </dataValidation>
    <dataValidation type="list" allowBlank="1" showInputMessage="1" showErrorMessage="1" sqref="E52:E53" xr:uid="{00000000-0002-0000-0300-00000D000000}">
      <formula1>$V$51:$W$51</formula1>
    </dataValidation>
    <dataValidation type="list" allowBlank="1" showInputMessage="1" showErrorMessage="1" sqref="E69" xr:uid="{00000000-0002-0000-0300-00000E000000}">
      <formula1>$V$67:$W$67</formula1>
    </dataValidation>
    <dataValidation type="list" allowBlank="1" showInputMessage="1" showErrorMessage="1" sqref="J30" xr:uid="{00000000-0002-0000-0300-00000F000000}">
      <formula1>$V$29:$W$29</formula1>
    </dataValidation>
    <dataValidation type="list" allowBlank="1" showInputMessage="1" showErrorMessage="1" sqref="J59" xr:uid="{00000000-0002-0000-0300-000010000000}">
      <formula1>$V$58:$W$58</formula1>
    </dataValidation>
    <dataValidation type="list" allowBlank="1" showInputMessage="1" showErrorMessage="1" sqref="J75" xr:uid="{00000000-0002-0000-0300-000011000000}">
      <formula1>$V$74:$W$74</formula1>
    </dataValidation>
    <dataValidation type="list" allowBlank="1" showInputMessage="1" showErrorMessage="1" sqref="C80" xr:uid="{00000000-0002-0000-0300-000012000000}">
      <formula1>$V$80:$W$80</formula1>
    </dataValidation>
    <dataValidation type="list" allowBlank="1" showInputMessage="1" showErrorMessage="1" sqref="C46" xr:uid="{00000000-0002-0000-0300-000013000000}">
      <formula1>$V$46:$W$46</formula1>
    </dataValidation>
    <dataValidation type="list" allowBlank="1" showInputMessage="1" showErrorMessage="1" sqref="J94 E88" xr:uid="{00000000-0002-0000-0300-000014000000}">
      <formula1>$V$94:$W$94</formula1>
    </dataValidation>
    <dataValidation type="list" allowBlank="1" showErrorMessage="1" errorTitle="Share Purchases / Awards" error="Enter as positive number only eg 4000" sqref="J110" xr:uid="{00000000-0002-0000-0300-000015000000}">
      <formula1>$V$110:$W$110</formula1>
    </dataValidation>
    <dataValidation type="list" allowBlank="1" showInputMessage="1" showErrorMessage="1" sqref="E120 R110" xr:uid="{00000000-0002-0000-0300-000016000000}">
      <formula1>$V$120:$W$120</formula1>
    </dataValidation>
    <dataValidation type="list" allowBlank="1" showErrorMessage="1" errorTitle="Share Purchases / Awards" error="Enter as positive number only eg 4000" sqref="J126" xr:uid="{00000000-0002-0000-0300-000017000000}">
      <formula1>$V$120:$W$120</formula1>
    </dataValidation>
    <dataValidation type="list" allowBlank="1" showInputMessage="1" showErrorMessage="1" sqref="E104" xr:uid="{00000000-0002-0000-0300-000018000000}">
      <formula1>$V$110:$W$110</formula1>
    </dataValidation>
  </dataValidations>
  <pageMargins left="0.23622047244094491" right="0.35433070866141736" top="0.6692913385826772" bottom="0.6692913385826772" header="0.35433070866141736" footer="0.51181102362204722"/>
  <pageSetup paperSize="8" scale="48" orientation="landscape" r:id="rId1"/>
  <headerFooter alignWithMargins="0">
    <oddFooter>&amp;L&amp;A&amp;R&amp;D</oddFooter>
  </headerFooter>
  <rowBreaks count="1" manualBreakCount="1">
    <brk id="41" max="19"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64"/>
  <sheetViews>
    <sheetView workbookViewId="0">
      <selection sqref="A1:H1"/>
    </sheetView>
  </sheetViews>
  <sheetFormatPr defaultRowHeight="13.2" x14ac:dyDescent="0.25"/>
  <cols>
    <col min="1" max="1" width="31.44140625" customWidth="1"/>
    <col min="2" max="2" width="22.6640625" customWidth="1"/>
    <col min="3" max="3" width="18.44140625" customWidth="1"/>
    <col min="4" max="4" width="13.6640625" customWidth="1"/>
    <col min="5" max="5" width="18.44140625" customWidth="1"/>
    <col min="6" max="6" width="20.44140625" customWidth="1"/>
    <col min="7" max="7" width="17" customWidth="1"/>
    <col min="8" max="8" width="64.109375" customWidth="1"/>
  </cols>
  <sheetData>
    <row r="1" spans="1:8" s="15" customFormat="1" ht="21" x14ac:dyDescent="0.25">
      <c r="A1" s="672" t="s">
        <v>293</v>
      </c>
      <c r="B1" s="673"/>
      <c r="C1" s="673"/>
      <c r="D1" s="673"/>
      <c r="E1" s="673"/>
      <c r="F1" s="673"/>
      <c r="G1" s="673"/>
      <c r="H1" s="674"/>
    </row>
    <row r="2" spans="1:8" ht="21.6" thickBot="1" x14ac:dyDescent="0.45">
      <c r="A2" s="487" t="s">
        <v>360</v>
      </c>
      <c r="B2" s="488"/>
      <c r="C2" s="488"/>
      <c r="D2" s="488"/>
      <c r="E2" s="488"/>
      <c r="F2" s="148"/>
      <c r="G2" s="148"/>
      <c r="H2" s="150"/>
    </row>
    <row r="3" spans="1:8" ht="16.2" thickBot="1" x14ac:dyDescent="0.35">
      <c r="A3" s="25"/>
      <c r="B3" s="25"/>
      <c r="C3" s="25"/>
      <c r="D3" s="25"/>
      <c r="E3" s="25"/>
      <c r="F3" s="25"/>
      <c r="G3" s="25"/>
      <c r="H3" s="25"/>
    </row>
    <row r="4" spans="1:8" ht="21" x14ac:dyDescent="0.4">
      <c r="A4" s="352" t="s">
        <v>289</v>
      </c>
      <c r="B4" s="111"/>
      <c r="C4" s="111"/>
      <c r="D4" s="111"/>
      <c r="E4" s="111"/>
      <c r="F4" s="111"/>
      <c r="G4" s="111"/>
      <c r="H4" s="159"/>
    </row>
    <row r="5" spans="1:8" ht="15.6" x14ac:dyDescent="0.25">
      <c r="A5" s="675" t="s">
        <v>242</v>
      </c>
      <c r="B5" s="676"/>
      <c r="C5" s="676"/>
      <c r="D5" s="676"/>
      <c r="E5" s="676"/>
      <c r="F5" s="676"/>
      <c r="G5" s="676"/>
      <c r="H5" s="677"/>
    </row>
    <row r="6" spans="1:8" ht="15.6" x14ac:dyDescent="0.3">
      <c r="A6" s="243" t="s">
        <v>290</v>
      </c>
      <c r="B6" s="122">
        <f>'s104 holdings'!R15</f>
        <v>0</v>
      </c>
      <c r="C6" s="122"/>
      <c r="D6" s="122"/>
      <c r="E6" s="112"/>
      <c r="F6" s="112"/>
      <c r="G6" s="112"/>
      <c r="H6" s="129"/>
    </row>
    <row r="7" spans="1:8" ht="15.6" x14ac:dyDescent="0.3">
      <c r="A7" s="243" t="s">
        <v>291</v>
      </c>
      <c r="B7" s="244">
        <f>'s104 holdings'!S15</f>
        <v>0</v>
      </c>
      <c r="C7" s="244"/>
      <c r="D7" s="244"/>
      <c r="E7" s="112"/>
      <c r="F7" s="112"/>
      <c r="G7" s="112"/>
      <c r="H7" s="129"/>
    </row>
    <row r="8" spans="1:8" ht="124.5" customHeight="1" x14ac:dyDescent="0.25">
      <c r="A8" s="411" t="s">
        <v>371</v>
      </c>
      <c r="B8" s="410">
        <v>0</v>
      </c>
      <c r="C8" s="676" t="s">
        <v>464</v>
      </c>
      <c r="D8" s="676"/>
      <c r="E8" s="676"/>
      <c r="F8" s="676"/>
      <c r="G8" s="676"/>
      <c r="H8" s="677"/>
    </row>
    <row r="9" spans="1:8" ht="42" customHeight="1" thickBot="1" x14ac:dyDescent="0.3">
      <c r="A9" s="245" t="s">
        <v>292</v>
      </c>
      <c r="B9" s="247">
        <f>B8-B7</f>
        <v>0</v>
      </c>
      <c r="C9" s="676" t="str">
        <f>IF(B9&gt;0," this amount should be reported as a gain made on the sale of your Ipex holdings on their liquidation in December 2013."," This loss should be included in your capital gains tax reporting in the 2013/14 tax year to use against gains in that year or be carried forward as a loss to use against future gains.")</f>
        <v xml:space="preserve"> This loss should be included in your capital gains tax reporting in the 2013/14 tax year to use against gains in that year or be carried forward as a loss to use against future gains.</v>
      </c>
      <c r="D9" s="676"/>
      <c r="E9" s="676"/>
      <c r="F9" s="676"/>
      <c r="G9" s="676"/>
      <c r="H9" s="677"/>
    </row>
    <row r="10" spans="1:8" ht="16.8" thickTop="1" thickBot="1" x14ac:dyDescent="0.35">
      <c r="A10" s="442" t="s">
        <v>421</v>
      </c>
      <c r="B10" s="148"/>
      <c r="C10" s="148"/>
      <c r="D10" s="148"/>
      <c r="E10" s="148"/>
      <c r="F10" s="148"/>
      <c r="G10" s="148"/>
      <c r="H10" s="150"/>
    </row>
    <row r="11" spans="1:8" ht="16.2" thickBot="1" x14ac:dyDescent="0.35">
      <c r="A11" s="25"/>
      <c r="B11" s="25"/>
      <c r="C11" s="25"/>
      <c r="D11" s="25"/>
      <c r="E11" s="25"/>
      <c r="F11" s="25"/>
      <c r="G11" s="25"/>
      <c r="H11" s="25"/>
    </row>
    <row r="12" spans="1:8" ht="21" x14ac:dyDescent="0.4">
      <c r="A12" s="352" t="s">
        <v>343</v>
      </c>
      <c r="B12" s="111"/>
      <c r="C12" s="111"/>
      <c r="D12" s="111"/>
      <c r="E12" s="111"/>
      <c r="F12" s="111"/>
      <c r="G12" s="111"/>
      <c r="H12" s="159"/>
    </row>
    <row r="13" spans="1:8" ht="15.6" x14ac:dyDescent="0.3">
      <c r="A13" s="128" t="s">
        <v>344</v>
      </c>
      <c r="B13" s="112"/>
      <c r="C13" s="112"/>
      <c r="D13" s="112"/>
      <c r="E13" s="112"/>
      <c r="F13" s="112"/>
      <c r="G13" s="112"/>
      <c r="H13" s="129"/>
    </row>
    <row r="14" spans="1:8" ht="15.6" x14ac:dyDescent="0.3">
      <c r="A14" s="243" t="s">
        <v>290</v>
      </c>
      <c r="B14" s="248">
        <f>'s104 holdings'!R84</f>
        <v>0</v>
      </c>
      <c r="C14" s="248"/>
      <c r="D14" s="248"/>
      <c r="E14" s="112"/>
      <c r="F14" s="112"/>
      <c r="G14" s="112"/>
      <c r="H14" s="129"/>
    </row>
    <row r="15" spans="1:8" ht="15.6" x14ac:dyDescent="0.3">
      <c r="A15" s="243"/>
      <c r="B15" s="248"/>
      <c r="C15" s="248"/>
      <c r="D15" s="248"/>
      <c r="E15" s="112"/>
      <c r="F15" s="112"/>
      <c r="G15" s="112"/>
      <c r="H15" s="129"/>
    </row>
    <row r="16" spans="1:8" ht="15.6" x14ac:dyDescent="0.3">
      <c r="A16" s="282"/>
      <c r="B16" s="283" t="s">
        <v>352</v>
      </c>
      <c r="C16" s="283" t="s">
        <v>306</v>
      </c>
      <c r="D16" s="283" t="s">
        <v>356</v>
      </c>
      <c r="E16" s="283" t="s">
        <v>358</v>
      </c>
      <c r="F16" s="283" t="s">
        <v>354</v>
      </c>
      <c r="G16" s="284" t="s">
        <v>359</v>
      </c>
      <c r="H16" s="129"/>
    </row>
    <row r="17" spans="1:8" ht="15.6" x14ac:dyDescent="0.3">
      <c r="A17" s="285" t="s">
        <v>303</v>
      </c>
      <c r="B17" s="286" t="s">
        <v>351</v>
      </c>
      <c r="C17" s="286" t="s">
        <v>304</v>
      </c>
      <c r="D17" s="286" t="s">
        <v>355</v>
      </c>
      <c r="E17" s="286" t="s">
        <v>357</v>
      </c>
      <c r="F17" s="286" t="s">
        <v>353</v>
      </c>
      <c r="G17" s="287" t="s">
        <v>353</v>
      </c>
      <c r="H17" s="129"/>
    </row>
    <row r="18" spans="1:8" ht="15.6" x14ac:dyDescent="0.3">
      <c r="A18" s="421">
        <v>41260</v>
      </c>
      <c r="B18" s="249">
        <v>3.1749000000000001</v>
      </c>
      <c r="C18" s="250" t="s">
        <v>302</v>
      </c>
      <c r="D18" s="251" t="e">
        <f>(((B18/'Instruction &amp; apportionment'!$C$26)*'s104 holdings'!$H$82)+(('Ipex &amp; PACG Redeemable shares'!B18/'Instruction &amp; apportionment'!$C$26)*'s104 holdings'!$M$82))/('s104 holdings'!$L$82+'s104 holdings'!$G$82)</f>
        <v>#DIV/0!</v>
      </c>
      <c r="E18" s="252"/>
      <c r="F18" s="251">
        <f t="shared" ref="F18:F24" si="0">E18*B18</f>
        <v>0</v>
      </c>
      <c r="G18" s="253">
        <f>IF(E18&gt;0,(B18-D18)*E18,0)</f>
        <v>0</v>
      </c>
      <c r="H18" s="129" t="s">
        <v>310</v>
      </c>
    </row>
    <row r="19" spans="1:8" ht="15.6" x14ac:dyDescent="0.3">
      <c r="A19" s="422"/>
      <c r="B19" s="254">
        <v>1.1338999999999999</v>
      </c>
      <c r="C19" s="255" t="s">
        <v>309</v>
      </c>
      <c r="D19" s="256" t="e">
        <f>(((B19/'Instruction &amp; apportionment'!$C$26)*'s104 holdings'!$H$82)+(('Ipex &amp; PACG Redeemable shares'!B19/'Instruction &amp; apportionment'!$C$26)*'s104 holdings'!$M$82))/('s104 holdings'!$L$82+'s104 holdings'!$G$82)</f>
        <v>#DIV/0!</v>
      </c>
      <c r="E19" s="257">
        <f>E18</f>
        <v>0</v>
      </c>
      <c r="F19" s="256">
        <f t="shared" si="0"/>
        <v>0</v>
      </c>
      <c r="G19" s="258">
        <f t="shared" ref="G19:G24" si="1">IF(E19&gt;0,(B19-D19)*E19,0)</f>
        <v>0</v>
      </c>
      <c r="H19" s="129"/>
    </row>
    <row r="20" spans="1:8" ht="15.6" x14ac:dyDescent="0.3">
      <c r="A20" s="277">
        <v>41425</v>
      </c>
      <c r="B20" s="49">
        <v>3.1749000000000001</v>
      </c>
      <c r="C20" s="259" t="s">
        <v>305</v>
      </c>
      <c r="D20" s="50" t="e">
        <f>(((B20/'Instruction &amp; apportionment'!$C$26)*'s104 holdings'!$H$82)+(('Ipex &amp; PACG Redeemable shares'!B20/'Instruction &amp; apportionment'!$C$26)*'s104 holdings'!$M$82))/('s104 holdings'!$L$82+'s104 holdings'!$G$82)</f>
        <v>#DIV/0!</v>
      </c>
      <c r="E20" s="126"/>
      <c r="F20" s="50">
        <f t="shared" si="0"/>
        <v>0</v>
      </c>
      <c r="G20" s="260">
        <f t="shared" si="1"/>
        <v>0</v>
      </c>
      <c r="H20" s="129" t="s">
        <v>310</v>
      </c>
    </row>
    <row r="21" spans="1:8" ht="15.6" x14ac:dyDescent="0.3">
      <c r="A21" s="423"/>
      <c r="B21" s="49">
        <v>1.1338999999999999</v>
      </c>
      <c r="C21" s="259" t="s">
        <v>309</v>
      </c>
      <c r="D21" s="50" t="e">
        <f>(((B21/'Instruction &amp; apportionment'!$C$26)*'s104 holdings'!$H$82)+(('Ipex &amp; PACG Redeemable shares'!B21/'Instruction &amp; apportionment'!$C$26)*'s104 holdings'!$M$82))/('s104 holdings'!$L$82+'s104 holdings'!$G$82)</f>
        <v>#DIV/0!</v>
      </c>
      <c r="E21" s="261">
        <f>E20</f>
        <v>0</v>
      </c>
      <c r="F21" s="50">
        <f t="shared" si="0"/>
        <v>0</v>
      </c>
      <c r="G21" s="260">
        <f t="shared" si="1"/>
        <v>0</v>
      </c>
      <c r="H21" s="129"/>
    </row>
    <row r="22" spans="1:8" ht="15.6" x14ac:dyDescent="0.3">
      <c r="A22" s="279">
        <v>41608</v>
      </c>
      <c r="B22" s="262">
        <v>4.3087999999999997</v>
      </c>
      <c r="C22" s="263" t="s">
        <v>309</v>
      </c>
      <c r="D22" s="264" t="e">
        <f>(((B22/'Instruction &amp; apportionment'!$C$26)*'s104 holdings'!$H$82)+(('Ipex &amp; PACG Redeemable shares'!B22/'Instruction &amp; apportionment'!$C$26)*'s104 holdings'!$M$82))/('s104 holdings'!$L$82+'s104 holdings'!$G$82)</f>
        <v>#DIV/0!</v>
      </c>
      <c r="E22" s="265"/>
      <c r="F22" s="264">
        <f t="shared" si="0"/>
        <v>0</v>
      </c>
      <c r="G22" s="266">
        <f t="shared" si="1"/>
        <v>0</v>
      </c>
      <c r="H22" s="129"/>
    </row>
    <row r="23" spans="1:8" ht="15.6" x14ac:dyDescent="0.3">
      <c r="A23" s="430">
        <v>41789</v>
      </c>
      <c r="B23" s="254">
        <v>4.3087999999999997</v>
      </c>
      <c r="C23" s="255" t="s">
        <v>307</v>
      </c>
      <c r="D23" s="256" t="e">
        <f>(((B23/'Instruction &amp; apportionment'!$C$26)*'s104 holdings'!$H$82)+(('Ipex &amp; PACG Redeemable shares'!B23/'Instruction &amp; apportionment'!$C$26)*'s104 holdings'!$M$82))/('s104 holdings'!$L$82+'s104 holdings'!$G$82)</f>
        <v>#DIV/0!</v>
      </c>
      <c r="E23" s="267"/>
      <c r="F23" s="256">
        <f t="shared" si="0"/>
        <v>0</v>
      </c>
      <c r="G23" s="258">
        <f t="shared" si="1"/>
        <v>0</v>
      </c>
      <c r="H23" s="129"/>
    </row>
    <row r="24" spans="1:8" ht="15.6" x14ac:dyDescent="0.3">
      <c r="A24" s="421">
        <v>42136</v>
      </c>
      <c r="B24" s="249">
        <v>4.3087999999999997</v>
      </c>
      <c r="C24" s="250" t="s">
        <v>308</v>
      </c>
      <c r="D24" s="251" t="e">
        <f>(((B24/'Instruction &amp; apportionment'!$C$26)*'s104 holdings'!$H$82)+(('Ipex &amp; PACG Redeemable shares'!B24/'Instruction &amp; apportionment'!$C$26)*'s104 holdings'!$M$82))/('s104 holdings'!$L$82+'s104 holdings'!$G$82)</f>
        <v>#DIV/0!</v>
      </c>
      <c r="E24" s="252"/>
      <c r="F24" s="251">
        <f t="shared" si="0"/>
        <v>0</v>
      </c>
      <c r="G24" s="253">
        <f t="shared" si="1"/>
        <v>0</v>
      </c>
      <c r="H24" s="129"/>
    </row>
    <row r="25" spans="1:8" ht="15.6" x14ac:dyDescent="0.3">
      <c r="A25" s="243"/>
      <c r="B25" s="110"/>
      <c r="C25" s="261"/>
      <c r="D25" s="261"/>
      <c r="E25" s="110"/>
      <c r="F25" s="112"/>
      <c r="G25" s="112"/>
      <c r="H25" s="129"/>
    </row>
    <row r="26" spans="1:8" ht="16.2" thickBot="1" x14ac:dyDescent="0.35">
      <c r="A26" s="268"/>
      <c r="B26" s="110"/>
      <c r="C26" s="261"/>
      <c r="D26" s="269" t="s">
        <v>239</v>
      </c>
      <c r="E26" s="270">
        <f>E24+E23+E22+E20+E18</f>
        <v>0</v>
      </c>
      <c r="F26" s="112"/>
      <c r="G26" s="112"/>
      <c r="H26" s="129"/>
    </row>
    <row r="27" spans="1:8" ht="16.2" thickTop="1" x14ac:dyDescent="0.3">
      <c r="A27" s="243" t="s">
        <v>301</v>
      </c>
      <c r="B27" s="110"/>
      <c r="C27" s="261"/>
      <c r="D27" s="261"/>
      <c r="E27" s="110"/>
      <c r="F27" s="112"/>
      <c r="G27" s="112"/>
      <c r="H27" s="129"/>
    </row>
    <row r="28" spans="1:8" ht="15.6" x14ac:dyDescent="0.3">
      <c r="A28" s="282"/>
      <c r="B28" s="283" t="s">
        <v>354</v>
      </c>
      <c r="C28" s="284" t="s">
        <v>359</v>
      </c>
      <c r="D28" s="112"/>
      <c r="E28" s="112"/>
      <c r="F28" s="112"/>
      <c r="G28" s="112"/>
      <c r="H28" s="129"/>
    </row>
    <row r="29" spans="1:8" ht="15.6" x14ac:dyDescent="0.3">
      <c r="A29" s="285" t="s">
        <v>298</v>
      </c>
      <c r="B29" s="286" t="s">
        <v>353</v>
      </c>
      <c r="C29" s="287" t="s">
        <v>353</v>
      </c>
      <c r="D29" s="112"/>
      <c r="E29" s="112"/>
      <c r="F29" s="112"/>
      <c r="G29" s="112"/>
      <c r="H29" s="129"/>
    </row>
    <row r="30" spans="1:8" ht="12.75" customHeight="1" x14ac:dyDescent="0.3">
      <c r="A30" s="277" t="s">
        <v>250</v>
      </c>
      <c r="B30" s="276">
        <f>F18</f>
        <v>0</v>
      </c>
      <c r="C30" s="278">
        <f>G18</f>
        <v>0</v>
      </c>
      <c r="D30" s="271" t="s">
        <v>313</v>
      </c>
      <c r="E30" s="272"/>
      <c r="F30" s="272"/>
      <c r="G30" s="272"/>
      <c r="H30" s="273"/>
    </row>
    <row r="31" spans="1:8" ht="12.75" customHeight="1" x14ac:dyDescent="0.3">
      <c r="A31" s="277" t="s">
        <v>275</v>
      </c>
      <c r="B31" s="276">
        <f>F19+F20+F21+F22</f>
        <v>0</v>
      </c>
      <c r="C31" s="278">
        <f>G19+G20+G21+G22</f>
        <v>0</v>
      </c>
      <c r="D31" s="271" t="s">
        <v>318</v>
      </c>
      <c r="E31" s="272"/>
      <c r="F31" s="272"/>
      <c r="G31" s="272"/>
      <c r="H31" s="273"/>
    </row>
    <row r="32" spans="1:8" ht="15.6" x14ac:dyDescent="0.3">
      <c r="A32" s="277" t="s">
        <v>299</v>
      </c>
      <c r="B32" s="276">
        <f>F23</f>
        <v>0</v>
      </c>
      <c r="C32" s="278">
        <f>G23</f>
        <v>0</v>
      </c>
      <c r="D32" s="271" t="s">
        <v>311</v>
      </c>
      <c r="E32" s="112"/>
      <c r="F32" s="112"/>
      <c r="G32" s="112"/>
      <c r="H32" s="129"/>
    </row>
    <row r="33" spans="1:8" ht="15.6" x14ac:dyDescent="0.3">
      <c r="A33" s="279" t="s">
        <v>300</v>
      </c>
      <c r="B33" s="280">
        <f>F24</f>
        <v>0</v>
      </c>
      <c r="C33" s="281">
        <f>G24</f>
        <v>0</v>
      </c>
      <c r="D33" s="271" t="s">
        <v>312</v>
      </c>
      <c r="E33" s="112"/>
      <c r="F33" s="112"/>
      <c r="G33" s="112"/>
      <c r="H33" s="129"/>
    </row>
    <row r="34" spans="1:8" ht="15.6" x14ac:dyDescent="0.3">
      <c r="A34" s="128" t="s">
        <v>295</v>
      </c>
      <c r="B34" s="112"/>
      <c r="C34" s="112"/>
      <c r="D34" s="112"/>
      <c r="E34" s="112"/>
      <c r="F34" s="112"/>
      <c r="G34" s="112"/>
      <c r="H34" s="129"/>
    </row>
    <row r="35" spans="1:8" ht="16.2" thickBot="1" x14ac:dyDescent="0.35">
      <c r="A35" s="147"/>
      <c r="B35" s="148"/>
      <c r="C35" s="148"/>
      <c r="D35" s="148"/>
      <c r="E35" s="148"/>
      <c r="F35" s="148"/>
      <c r="G35" s="148"/>
      <c r="H35" s="150"/>
    </row>
    <row r="36" spans="1:8" ht="15.6" x14ac:dyDescent="0.3">
      <c r="A36" s="25"/>
      <c r="B36" s="25"/>
      <c r="C36" s="25"/>
      <c r="D36" s="25"/>
      <c r="E36" s="25"/>
      <c r="F36" s="25"/>
      <c r="G36" s="25"/>
      <c r="H36" s="25"/>
    </row>
    <row r="37" spans="1:8" ht="15.6" x14ac:dyDescent="0.3">
      <c r="A37" s="25"/>
      <c r="B37" s="25"/>
      <c r="C37" s="25"/>
      <c r="D37" s="25"/>
      <c r="E37" s="25"/>
      <c r="F37" s="25"/>
      <c r="G37" s="25"/>
      <c r="H37" s="25"/>
    </row>
    <row r="38" spans="1:8" ht="15.6" x14ac:dyDescent="0.3">
      <c r="A38" s="25"/>
      <c r="B38" s="25"/>
      <c r="C38" s="25"/>
      <c r="D38" s="25"/>
      <c r="E38" s="25"/>
      <c r="F38" s="25"/>
      <c r="G38" s="25"/>
      <c r="H38" s="25"/>
    </row>
    <row r="39" spans="1:8" ht="15.6" x14ac:dyDescent="0.3">
      <c r="A39" s="25"/>
      <c r="B39" s="25"/>
      <c r="C39" s="25"/>
      <c r="D39" s="25"/>
      <c r="E39" s="25"/>
      <c r="F39" s="25"/>
      <c r="G39" s="25"/>
      <c r="H39" s="25"/>
    </row>
    <row r="40" spans="1:8" ht="15.6" x14ac:dyDescent="0.3">
      <c r="A40" s="25"/>
      <c r="B40" s="25"/>
      <c r="C40" s="25"/>
      <c r="D40" s="25"/>
      <c r="E40" s="25"/>
      <c r="F40" s="25"/>
      <c r="G40" s="25"/>
      <c r="H40" s="25"/>
    </row>
    <row r="41" spans="1:8" ht="15.6" x14ac:dyDescent="0.3">
      <c r="A41" s="25"/>
      <c r="B41" s="25"/>
      <c r="C41" s="25"/>
      <c r="D41" s="25"/>
      <c r="E41" s="25"/>
      <c r="F41" s="25"/>
      <c r="G41" s="25"/>
      <c r="H41" s="25"/>
    </row>
    <row r="42" spans="1:8" ht="15.6" x14ac:dyDescent="0.3">
      <c r="A42" s="25"/>
      <c r="B42" s="25"/>
      <c r="C42" s="25"/>
      <c r="D42" s="25"/>
      <c r="E42" s="25"/>
      <c r="F42" s="25"/>
      <c r="G42" s="25"/>
      <c r="H42" s="25"/>
    </row>
    <row r="43" spans="1:8" ht="15.6" x14ac:dyDescent="0.3">
      <c r="A43" s="25"/>
      <c r="B43" s="25"/>
      <c r="C43" s="25"/>
      <c r="D43" s="25"/>
      <c r="E43" s="25"/>
      <c r="F43" s="25"/>
      <c r="G43" s="25"/>
      <c r="H43" s="25"/>
    </row>
    <row r="44" spans="1:8" ht="15.6" x14ac:dyDescent="0.3">
      <c r="A44" s="25"/>
      <c r="B44" s="25"/>
      <c r="C44" s="25"/>
      <c r="D44" s="25"/>
      <c r="E44" s="25"/>
      <c r="F44" s="25"/>
      <c r="G44" s="25"/>
      <c r="H44" s="25"/>
    </row>
    <row r="45" spans="1:8" ht="15.6" x14ac:dyDescent="0.3">
      <c r="A45" s="25"/>
      <c r="B45" s="25"/>
      <c r="C45" s="25"/>
      <c r="D45" s="25"/>
      <c r="E45" s="25"/>
      <c r="F45" s="25"/>
      <c r="G45" s="25"/>
      <c r="H45" s="25"/>
    </row>
    <row r="46" spans="1:8" ht="15.6" x14ac:dyDescent="0.3">
      <c r="A46" s="25"/>
      <c r="B46" s="25"/>
      <c r="C46" s="25"/>
      <c r="D46" s="25"/>
      <c r="E46" s="25"/>
      <c r="F46" s="25"/>
      <c r="G46" s="25"/>
      <c r="H46" s="25"/>
    </row>
    <row r="47" spans="1:8" ht="15.6" x14ac:dyDescent="0.3">
      <c r="A47" s="25"/>
      <c r="B47" s="25"/>
      <c r="C47" s="25"/>
      <c r="D47" s="25"/>
      <c r="E47" s="25"/>
      <c r="F47" s="25"/>
      <c r="G47" s="25"/>
      <c r="H47" s="25"/>
    </row>
    <row r="48" spans="1:8" ht="15.6" x14ac:dyDescent="0.3">
      <c r="A48" s="25"/>
      <c r="B48" s="25"/>
      <c r="C48" s="25"/>
      <c r="D48" s="25"/>
      <c r="E48" s="25"/>
      <c r="F48" s="25"/>
      <c r="G48" s="25"/>
      <c r="H48" s="25"/>
    </row>
    <row r="49" spans="1:8" ht="15.6" x14ac:dyDescent="0.3">
      <c r="A49" s="25"/>
      <c r="B49" s="25"/>
      <c r="C49" s="25"/>
      <c r="D49" s="25"/>
      <c r="E49" s="25"/>
      <c r="F49" s="25"/>
      <c r="G49" s="25"/>
      <c r="H49" s="25"/>
    </row>
    <row r="50" spans="1:8" ht="15.6" x14ac:dyDescent="0.3">
      <c r="A50" s="25"/>
      <c r="B50" s="25"/>
      <c r="C50" s="25"/>
      <c r="D50" s="25"/>
      <c r="E50" s="25"/>
      <c r="F50" s="25"/>
      <c r="G50" s="25"/>
      <c r="H50" s="25"/>
    </row>
    <row r="51" spans="1:8" ht="15.6" x14ac:dyDescent="0.3">
      <c r="A51" s="25"/>
      <c r="B51" s="25"/>
      <c r="C51" s="25"/>
      <c r="D51" s="25"/>
      <c r="E51" s="25"/>
      <c r="F51" s="25"/>
      <c r="G51" s="25"/>
      <c r="H51" s="25"/>
    </row>
    <row r="52" spans="1:8" ht="15.6" x14ac:dyDescent="0.3">
      <c r="A52" s="25"/>
      <c r="B52" s="25"/>
      <c r="C52" s="25"/>
      <c r="D52" s="25"/>
      <c r="E52" s="25"/>
      <c r="F52" s="25"/>
      <c r="G52" s="25"/>
      <c r="H52" s="25"/>
    </row>
    <row r="53" spans="1:8" ht="15.6" x14ac:dyDescent="0.3">
      <c r="A53" s="25"/>
      <c r="B53" s="25"/>
      <c r="C53" s="25"/>
      <c r="D53" s="25"/>
      <c r="E53" s="25"/>
      <c r="F53" s="25"/>
      <c r="G53" s="25"/>
      <c r="H53" s="25"/>
    </row>
    <row r="54" spans="1:8" ht="15.6" x14ac:dyDescent="0.3">
      <c r="A54" s="25"/>
      <c r="B54" s="25"/>
      <c r="C54" s="25"/>
      <c r="D54" s="25"/>
      <c r="E54" s="25"/>
      <c r="F54" s="25"/>
      <c r="G54" s="25"/>
      <c r="H54" s="25"/>
    </row>
    <row r="55" spans="1:8" ht="15.6" x14ac:dyDescent="0.3">
      <c r="A55" s="25"/>
      <c r="B55" s="25"/>
      <c r="C55" s="25"/>
      <c r="D55" s="25"/>
      <c r="E55" s="25"/>
      <c r="F55" s="25"/>
      <c r="G55" s="25"/>
      <c r="H55" s="25"/>
    </row>
    <row r="56" spans="1:8" ht="15.6" x14ac:dyDescent="0.3">
      <c r="A56" s="25"/>
      <c r="B56" s="25"/>
      <c r="C56" s="25"/>
      <c r="D56" s="25"/>
      <c r="E56" s="25"/>
      <c r="F56" s="25"/>
      <c r="G56" s="25"/>
      <c r="H56" s="25"/>
    </row>
    <row r="57" spans="1:8" ht="15.6" x14ac:dyDescent="0.3">
      <c r="A57" s="25"/>
      <c r="B57" s="25"/>
      <c r="C57" s="25"/>
      <c r="D57" s="25"/>
      <c r="E57" s="25"/>
      <c r="F57" s="25"/>
      <c r="G57" s="25"/>
      <c r="H57" s="25"/>
    </row>
    <row r="58" spans="1:8" ht="15.6" x14ac:dyDescent="0.3">
      <c r="A58" s="25"/>
      <c r="B58" s="25"/>
      <c r="C58" s="25"/>
      <c r="D58" s="25"/>
      <c r="E58" s="25"/>
      <c r="F58" s="25"/>
      <c r="G58" s="25"/>
      <c r="H58" s="25"/>
    </row>
    <row r="59" spans="1:8" ht="15.6" x14ac:dyDescent="0.3">
      <c r="A59" s="25"/>
      <c r="B59" s="25"/>
      <c r="C59" s="25"/>
      <c r="D59" s="25"/>
      <c r="E59" s="25"/>
      <c r="F59" s="25"/>
      <c r="G59" s="25"/>
      <c r="H59" s="25"/>
    </row>
    <row r="60" spans="1:8" ht="15.6" x14ac:dyDescent="0.3">
      <c r="A60" s="25"/>
      <c r="B60" s="25"/>
      <c r="C60" s="25"/>
      <c r="D60" s="25"/>
      <c r="E60" s="25"/>
      <c r="F60" s="25"/>
      <c r="G60" s="25"/>
      <c r="H60" s="25"/>
    </row>
    <row r="61" spans="1:8" ht="15.6" x14ac:dyDescent="0.3">
      <c r="A61" s="25"/>
      <c r="B61" s="25"/>
      <c r="C61" s="25"/>
      <c r="D61" s="25"/>
      <c r="E61" s="25"/>
      <c r="F61" s="25"/>
      <c r="G61" s="25"/>
      <c r="H61" s="25"/>
    </row>
    <row r="62" spans="1:8" ht="15.6" x14ac:dyDescent="0.3">
      <c r="A62" s="25"/>
      <c r="B62" s="25"/>
      <c r="C62" s="25"/>
      <c r="D62" s="25"/>
      <c r="E62" s="25"/>
      <c r="F62" s="25"/>
      <c r="G62" s="25"/>
      <c r="H62" s="25"/>
    </row>
    <row r="63" spans="1:8" ht="15.6" x14ac:dyDescent="0.3">
      <c r="A63" s="25"/>
      <c r="B63" s="25"/>
      <c r="C63" s="25"/>
      <c r="D63" s="25"/>
      <c r="E63" s="25"/>
      <c r="F63" s="25"/>
      <c r="G63" s="25"/>
      <c r="H63" s="25"/>
    </row>
    <row r="64" spans="1:8" ht="15.6" x14ac:dyDescent="0.3">
      <c r="A64" s="25"/>
      <c r="B64" s="25"/>
      <c r="C64" s="25"/>
      <c r="D64" s="25"/>
      <c r="E64" s="25"/>
      <c r="F64" s="25"/>
      <c r="G64" s="25"/>
      <c r="H64" s="25"/>
    </row>
    <row r="65" spans="1:8" ht="15.6" x14ac:dyDescent="0.3">
      <c r="A65" s="25"/>
      <c r="B65" s="25"/>
      <c r="C65" s="25"/>
      <c r="D65" s="25"/>
      <c r="E65" s="25"/>
      <c r="F65" s="25"/>
      <c r="G65" s="25"/>
      <c r="H65" s="25"/>
    </row>
    <row r="66" spans="1:8" ht="15.6" x14ac:dyDescent="0.3">
      <c r="A66" s="25"/>
      <c r="B66" s="25"/>
      <c r="C66" s="25"/>
      <c r="D66" s="25"/>
      <c r="E66" s="25"/>
      <c r="F66" s="25"/>
      <c r="G66" s="25"/>
      <c r="H66" s="25"/>
    </row>
    <row r="67" spans="1:8" ht="15.6" x14ac:dyDescent="0.3">
      <c r="A67" s="25"/>
      <c r="B67" s="25"/>
      <c r="C67" s="25"/>
      <c r="D67" s="25"/>
      <c r="E67" s="25"/>
      <c r="F67" s="25"/>
      <c r="G67" s="25"/>
      <c r="H67" s="25"/>
    </row>
    <row r="68" spans="1:8" ht="15.6" x14ac:dyDescent="0.3">
      <c r="A68" s="25"/>
      <c r="B68" s="25"/>
      <c r="C68" s="25"/>
      <c r="D68" s="25"/>
      <c r="E68" s="25"/>
      <c r="F68" s="25"/>
      <c r="G68" s="25"/>
      <c r="H68" s="25"/>
    </row>
    <row r="69" spans="1:8" ht="15.6" x14ac:dyDescent="0.3">
      <c r="A69" s="25"/>
      <c r="B69" s="25"/>
      <c r="C69" s="25"/>
      <c r="D69" s="25"/>
      <c r="E69" s="25"/>
      <c r="F69" s="25"/>
      <c r="G69" s="25"/>
      <c r="H69" s="25"/>
    </row>
    <row r="70" spans="1:8" ht="15.6" x14ac:dyDescent="0.3">
      <c r="A70" s="25"/>
      <c r="B70" s="25"/>
      <c r="C70" s="25"/>
      <c r="D70" s="25"/>
      <c r="E70" s="25"/>
      <c r="F70" s="25"/>
      <c r="G70" s="25"/>
      <c r="H70" s="25"/>
    </row>
    <row r="71" spans="1:8" ht="15.6" x14ac:dyDescent="0.3">
      <c r="A71" s="25"/>
      <c r="B71" s="25"/>
      <c r="C71" s="25"/>
      <c r="D71" s="25"/>
      <c r="E71" s="25"/>
      <c r="F71" s="25"/>
      <c r="G71" s="25"/>
      <c r="H71" s="25"/>
    </row>
    <row r="72" spans="1:8" ht="15.6" x14ac:dyDescent="0.3">
      <c r="A72" s="25"/>
      <c r="B72" s="25"/>
      <c r="C72" s="25"/>
      <c r="D72" s="25"/>
      <c r="E72" s="25"/>
      <c r="F72" s="25"/>
      <c r="G72" s="25"/>
      <c r="H72" s="25"/>
    </row>
    <row r="73" spans="1:8" ht="15.6" x14ac:dyDescent="0.3">
      <c r="A73" s="25"/>
      <c r="B73" s="25"/>
      <c r="C73" s="25"/>
      <c r="D73" s="25"/>
      <c r="E73" s="25"/>
      <c r="F73" s="25"/>
      <c r="G73" s="25"/>
      <c r="H73" s="25"/>
    </row>
    <row r="74" spans="1:8" ht="15.6" x14ac:dyDescent="0.3">
      <c r="A74" s="25"/>
      <c r="B74" s="25"/>
      <c r="C74" s="25"/>
      <c r="D74" s="25"/>
      <c r="E74" s="25"/>
      <c r="F74" s="25"/>
      <c r="G74" s="25"/>
      <c r="H74" s="25"/>
    </row>
    <row r="75" spans="1:8" ht="15.6" x14ac:dyDescent="0.3">
      <c r="A75" s="25"/>
      <c r="B75" s="25"/>
      <c r="C75" s="25"/>
      <c r="D75" s="25"/>
      <c r="E75" s="25"/>
      <c r="F75" s="25"/>
      <c r="G75" s="25"/>
      <c r="H75" s="25"/>
    </row>
    <row r="76" spans="1:8" ht="15.6" x14ac:dyDescent="0.3">
      <c r="A76" s="25"/>
      <c r="B76" s="25"/>
      <c r="C76" s="25"/>
      <c r="D76" s="25"/>
      <c r="E76" s="25"/>
      <c r="F76" s="25"/>
      <c r="G76" s="25"/>
      <c r="H76" s="25"/>
    </row>
    <row r="77" spans="1:8" ht="15.6" x14ac:dyDescent="0.3">
      <c r="A77" s="25"/>
      <c r="B77" s="25"/>
      <c r="C77" s="25"/>
      <c r="D77" s="25"/>
      <c r="E77" s="25"/>
      <c r="F77" s="25"/>
      <c r="G77" s="25"/>
      <c r="H77" s="25"/>
    </row>
    <row r="78" spans="1:8" ht="15.6" x14ac:dyDescent="0.3">
      <c r="A78" s="25"/>
      <c r="B78" s="25"/>
      <c r="C78" s="25"/>
      <c r="D78" s="25"/>
      <c r="E78" s="25"/>
      <c r="F78" s="25"/>
      <c r="G78" s="25"/>
      <c r="H78" s="25"/>
    </row>
    <row r="79" spans="1:8" ht="15.6" x14ac:dyDescent="0.3">
      <c r="A79" s="25"/>
      <c r="B79" s="25"/>
      <c r="C79" s="25"/>
      <c r="D79" s="25"/>
      <c r="E79" s="25"/>
      <c r="F79" s="25"/>
      <c r="G79" s="25"/>
      <c r="H79" s="25"/>
    </row>
    <row r="80" spans="1:8" ht="15.6" x14ac:dyDescent="0.3">
      <c r="A80" s="25"/>
      <c r="B80" s="25"/>
      <c r="C80" s="25"/>
      <c r="D80" s="25"/>
      <c r="E80" s="25"/>
      <c r="F80" s="25"/>
      <c r="G80" s="25"/>
      <c r="H80" s="25"/>
    </row>
    <row r="81" spans="1:8" ht="15.6" x14ac:dyDescent="0.3">
      <c r="A81" s="25"/>
      <c r="B81" s="25"/>
      <c r="C81" s="25"/>
      <c r="D81" s="25"/>
      <c r="E81" s="25"/>
      <c r="F81" s="25"/>
      <c r="G81" s="25"/>
      <c r="H81" s="25"/>
    </row>
    <row r="82" spans="1:8" ht="15.6" x14ac:dyDescent="0.3">
      <c r="A82" s="25"/>
      <c r="B82" s="25"/>
      <c r="C82" s="25"/>
      <c r="D82" s="25"/>
      <c r="E82" s="25"/>
      <c r="F82" s="25"/>
      <c r="G82" s="25"/>
      <c r="H82" s="25"/>
    </row>
    <row r="83" spans="1:8" ht="15.6" x14ac:dyDescent="0.3">
      <c r="A83" s="25"/>
      <c r="B83" s="25"/>
      <c r="C83" s="25"/>
      <c r="D83" s="25"/>
      <c r="E83" s="25"/>
      <c r="F83" s="25"/>
      <c r="G83" s="25"/>
      <c r="H83" s="25"/>
    </row>
    <row r="84" spans="1:8" ht="15.6" x14ac:dyDescent="0.3">
      <c r="A84" s="25"/>
      <c r="B84" s="25"/>
      <c r="C84" s="25"/>
      <c r="D84" s="25"/>
      <c r="E84" s="25"/>
      <c r="F84" s="25"/>
      <c r="G84" s="25"/>
      <c r="H84" s="25"/>
    </row>
    <row r="85" spans="1:8" ht="15.6" x14ac:dyDescent="0.3">
      <c r="A85" s="25"/>
      <c r="B85" s="25"/>
      <c r="C85" s="25"/>
      <c r="D85" s="25"/>
      <c r="E85" s="25"/>
      <c r="F85" s="25"/>
      <c r="G85" s="25"/>
      <c r="H85" s="25"/>
    </row>
    <row r="86" spans="1:8" ht="15.6" x14ac:dyDescent="0.3">
      <c r="A86" s="25"/>
      <c r="B86" s="25"/>
      <c r="C86" s="25"/>
      <c r="D86" s="25"/>
      <c r="E86" s="25"/>
      <c r="F86" s="25"/>
      <c r="G86" s="25"/>
      <c r="H86" s="25"/>
    </row>
    <row r="87" spans="1:8" ht="15.6" x14ac:dyDescent="0.3">
      <c r="A87" s="25"/>
      <c r="B87" s="25"/>
      <c r="C87" s="25"/>
      <c r="D87" s="25"/>
      <c r="E87" s="25"/>
      <c r="F87" s="25"/>
      <c r="G87" s="25"/>
      <c r="H87" s="25"/>
    </row>
    <row r="88" spans="1:8" ht="15.6" x14ac:dyDescent="0.3">
      <c r="A88" s="25"/>
      <c r="B88" s="25"/>
      <c r="C88" s="25"/>
      <c r="D88" s="25"/>
      <c r="E88" s="25"/>
      <c r="F88" s="25"/>
      <c r="G88" s="25"/>
      <c r="H88" s="25"/>
    </row>
    <row r="89" spans="1:8" ht="15.6" x14ac:dyDescent="0.3">
      <c r="A89" s="25"/>
      <c r="B89" s="25"/>
      <c r="C89" s="25"/>
      <c r="D89" s="25"/>
      <c r="E89" s="25"/>
      <c r="F89" s="25"/>
      <c r="G89" s="25"/>
      <c r="H89" s="25"/>
    </row>
    <row r="90" spans="1:8" ht="15.6" x14ac:dyDescent="0.3">
      <c r="A90" s="25"/>
      <c r="B90" s="25"/>
      <c r="C90" s="25"/>
      <c r="D90" s="25"/>
      <c r="E90" s="25"/>
      <c r="F90" s="25"/>
      <c r="G90" s="25"/>
      <c r="H90" s="25"/>
    </row>
    <row r="91" spans="1:8" ht="15.6" x14ac:dyDescent="0.3">
      <c r="A91" s="25"/>
      <c r="B91" s="25"/>
      <c r="C91" s="25"/>
      <c r="D91" s="25"/>
      <c r="E91" s="25"/>
      <c r="F91" s="25"/>
      <c r="G91" s="25"/>
      <c r="H91" s="25"/>
    </row>
    <row r="92" spans="1:8" ht="15.6" x14ac:dyDescent="0.3">
      <c r="A92" s="25"/>
      <c r="B92" s="25"/>
      <c r="C92" s="25"/>
      <c r="D92" s="25"/>
      <c r="E92" s="25"/>
      <c r="F92" s="25"/>
      <c r="G92" s="25"/>
      <c r="H92" s="25"/>
    </row>
    <row r="93" spans="1:8" ht="15.6" x14ac:dyDescent="0.3">
      <c r="A93" s="25"/>
      <c r="B93" s="25"/>
      <c r="C93" s="25"/>
      <c r="D93" s="25"/>
      <c r="E93" s="25"/>
      <c r="F93" s="25"/>
      <c r="G93" s="25"/>
      <c r="H93" s="25"/>
    </row>
    <row r="94" spans="1:8" ht="15.6" x14ac:dyDescent="0.3">
      <c r="A94" s="25"/>
      <c r="B94" s="25"/>
      <c r="C94" s="25"/>
      <c r="D94" s="25"/>
      <c r="E94" s="25"/>
      <c r="F94" s="25"/>
      <c r="G94" s="25"/>
      <c r="H94" s="25"/>
    </row>
    <row r="95" spans="1:8" ht="15.6" x14ac:dyDescent="0.3">
      <c r="A95" s="25"/>
      <c r="B95" s="25"/>
      <c r="C95" s="25"/>
      <c r="D95" s="25"/>
      <c r="E95" s="25"/>
      <c r="F95" s="25"/>
      <c r="G95" s="25"/>
      <c r="H95" s="25"/>
    </row>
    <row r="96" spans="1:8" ht="15.6" x14ac:dyDescent="0.3">
      <c r="A96" s="25"/>
      <c r="B96" s="25"/>
      <c r="C96" s="25"/>
      <c r="D96" s="25"/>
      <c r="E96" s="25"/>
      <c r="F96" s="25"/>
      <c r="G96" s="25"/>
      <c r="H96" s="25"/>
    </row>
    <row r="97" spans="1:8" ht="15.6" x14ac:dyDescent="0.3">
      <c r="A97" s="25"/>
      <c r="B97" s="25"/>
      <c r="C97" s="25"/>
      <c r="D97" s="25"/>
      <c r="E97" s="25"/>
      <c r="F97" s="25"/>
      <c r="G97" s="25"/>
      <c r="H97" s="25"/>
    </row>
    <row r="98" spans="1:8" ht="15.6" x14ac:dyDescent="0.3">
      <c r="A98" s="25"/>
      <c r="B98" s="25"/>
      <c r="C98" s="25"/>
      <c r="D98" s="25"/>
      <c r="E98" s="25"/>
      <c r="F98" s="25"/>
      <c r="G98" s="25"/>
      <c r="H98" s="25"/>
    </row>
    <row r="99" spans="1:8" ht="15.6" x14ac:dyDescent="0.3">
      <c r="A99" s="25"/>
      <c r="B99" s="25"/>
      <c r="C99" s="25"/>
      <c r="D99" s="25"/>
      <c r="E99" s="25"/>
      <c r="F99" s="25"/>
      <c r="G99" s="25"/>
      <c r="H99" s="25"/>
    </row>
    <row r="100" spans="1:8" ht="15.6" x14ac:dyDescent="0.3">
      <c r="A100" s="25"/>
      <c r="B100" s="25"/>
      <c r="C100" s="25"/>
      <c r="D100" s="25"/>
      <c r="E100" s="25"/>
      <c r="F100" s="25"/>
      <c r="G100" s="25"/>
      <c r="H100" s="25"/>
    </row>
    <row r="101" spans="1:8" ht="15.6" x14ac:dyDescent="0.3">
      <c r="A101" s="25"/>
      <c r="B101" s="25"/>
      <c r="C101" s="25"/>
      <c r="D101" s="25"/>
      <c r="E101" s="25"/>
      <c r="F101" s="25"/>
      <c r="G101" s="25"/>
      <c r="H101" s="25"/>
    </row>
    <row r="102" spans="1:8" ht="15.6" x14ac:dyDescent="0.3">
      <c r="A102" s="25"/>
      <c r="B102" s="25"/>
      <c r="C102" s="25"/>
      <c r="D102" s="25"/>
      <c r="E102" s="25"/>
      <c r="F102" s="25"/>
      <c r="G102" s="25"/>
      <c r="H102" s="25"/>
    </row>
    <row r="103" spans="1:8" ht="15.6" x14ac:dyDescent="0.3">
      <c r="A103" s="25"/>
      <c r="B103" s="25"/>
      <c r="C103" s="25"/>
      <c r="D103" s="25"/>
      <c r="E103" s="25"/>
      <c r="F103" s="25"/>
      <c r="G103" s="25"/>
      <c r="H103" s="25"/>
    </row>
    <row r="104" spans="1:8" ht="15.6" x14ac:dyDescent="0.3">
      <c r="A104" s="25"/>
      <c r="B104" s="25"/>
      <c r="C104" s="25"/>
      <c r="D104" s="25"/>
      <c r="E104" s="25"/>
      <c r="F104" s="25"/>
      <c r="G104" s="25"/>
      <c r="H104" s="25"/>
    </row>
    <row r="105" spans="1:8" ht="15.6" x14ac:dyDescent="0.3">
      <c r="A105" s="25"/>
      <c r="B105" s="25"/>
      <c r="C105" s="25"/>
      <c r="D105" s="25"/>
      <c r="E105" s="25"/>
      <c r="F105" s="25"/>
      <c r="G105" s="25"/>
      <c r="H105" s="25"/>
    </row>
    <row r="106" spans="1:8" ht="15.6" x14ac:dyDescent="0.3">
      <c r="A106" s="25"/>
      <c r="B106" s="25"/>
      <c r="C106" s="25"/>
      <c r="D106" s="25"/>
      <c r="E106" s="25"/>
      <c r="F106" s="25"/>
      <c r="G106" s="25"/>
      <c r="H106" s="25"/>
    </row>
    <row r="107" spans="1:8" ht="15.6" x14ac:dyDescent="0.3">
      <c r="A107" s="25"/>
      <c r="B107" s="25"/>
      <c r="C107" s="25"/>
      <c r="D107" s="25"/>
      <c r="E107" s="25"/>
      <c r="F107" s="25"/>
      <c r="G107" s="25"/>
      <c r="H107" s="25"/>
    </row>
    <row r="108" spans="1:8" ht="15.6" x14ac:dyDescent="0.3">
      <c r="A108" s="25"/>
      <c r="B108" s="25"/>
      <c r="C108" s="25"/>
      <c r="D108" s="25"/>
      <c r="E108" s="25"/>
      <c r="F108" s="25"/>
      <c r="G108" s="25"/>
      <c r="H108" s="25"/>
    </row>
    <row r="109" spans="1:8" ht="15.6" x14ac:dyDescent="0.3">
      <c r="A109" s="25"/>
      <c r="B109" s="25"/>
      <c r="C109" s="25"/>
      <c r="D109" s="25"/>
      <c r="E109" s="25"/>
      <c r="F109" s="25"/>
      <c r="G109" s="25"/>
      <c r="H109" s="25"/>
    </row>
    <row r="110" spans="1:8" ht="15.6" x14ac:dyDescent="0.3">
      <c r="A110" s="25"/>
      <c r="B110" s="25"/>
      <c r="C110" s="25"/>
      <c r="D110" s="25"/>
      <c r="E110" s="25"/>
      <c r="F110" s="25"/>
      <c r="G110" s="25"/>
      <c r="H110" s="25"/>
    </row>
    <row r="111" spans="1:8" ht="15.6" x14ac:dyDescent="0.3">
      <c r="A111" s="25"/>
      <c r="B111" s="25"/>
      <c r="C111" s="25"/>
      <c r="D111" s="25"/>
      <c r="E111" s="25"/>
      <c r="F111" s="25"/>
      <c r="G111" s="25"/>
      <c r="H111" s="25"/>
    </row>
    <row r="112" spans="1:8" ht="15.6" x14ac:dyDescent="0.3">
      <c r="A112" s="25"/>
      <c r="B112" s="25"/>
      <c r="C112" s="25"/>
      <c r="D112" s="25"/>
      <c r="E112" s="25"/>
      <c r="F112" s="25"/>
      <c r="G112" s="25"/>
      <c r="H112" s="25"/>
    </row>
    <row r="113" spans="1:8" ht="15.6" x14ac:dyDescent="0.3">
      <c r="A113" s="25"/>
      <c r="B113" s="25"/>
      <c r="C113" s="25"/>
      <c r="D113" s="25"/>
      <c r="E113" s="25"/>
      <c r="F113" s="25"/>
      <c r="G113" s="25"/>
      <c r="H113" s="25"/>
    </row>
    <row r="114" spans="1:8" ht="15.6" x14ac:dyDescent="0.3">
      <c r="A114" s="25"/>
      <c r="B114" s="25"/>
      <c r="C114" s="25"/>
      <c r="D114" s="25"/>
      <c r="E114" s="25"/>
      <c r="F114" s="25"/>
      <c r="G114" s="25"/>
      <c r="H114" s="25"/>
    </row>
    <row r="115" spans="1:8" ht="15.6" x14ac:dyDescent="0.3">
      <c r="A115" s="25"/>
      <c r="B115" s="25"/>
      <c r="C115" s="25"/>
      <c r="D115" s="25"/>
      <c r="E115" s="25"/>
      <c r="F115" s="25"/>
      <c r="G115" s="25"/>
      <c r="H115" s="25"/>
    </row>
    <row r="116" spans="1:8" ht="15.6" x14ac:dyDescent="0.3">
      <c r="A116" s="25"/>
      <c r="B116" s="25"/>
      <c r="C116" s="25"/>
      <c r="D116" s="25"/>
      <c r="E116" s="25"/>
      <c r="F116" s="25"/>
      <c r="G116" s="25"/>
      <c r="H116" s="25"/>
    </row>
    <row r="117" spans="1:8" ht="15.6" x14ac:dyDescent="0.3">
      <c r="A117" s="25"/>
      <c r="B117" s="25"/>
      <c r="C117" s="25"/>
      <c r="D117" s="25"/>
      <c r="E117" s="25"/>
      <c r="F117" s="25"/>
      <c r="G117" s="25"/>
      <c r="H117" s="25"/>
    </row>
    <row r="118" spans="1:8" ht="15.6" x14ac:dyDescent="0.3">
      <c r="A118" s="25"/>
      <c r="B118" s="25"/>
      <c r="C118" s="25"/>
      <c r="D118" s="25"/>
      <c r="E118" s="25"/>
      <c r="F118" s="25"/>
      <c r="G118" s="25"/>
      <c r="H118" s="25"/>
    </row>
    <row r="119" spans="1:8" ht="15.6" x14ac:dyDescent="0.3">
      <c r="A119" s="25"/>
      <c r="B119" s="25"/>
      <c r="C119" s="25"/>
      <c r="D119" s="25"/>
      <c r="E119" s="25"/>
      <c r="F119" s="25"/>
      <c r="G119" s="25"/>
      <c r="H119" s="25"/>
    </row>
    <row r="120" spans="1:8" ht="15.6" x14ac:dyDescent="0.3">
      <c r="A120" s="25"/>
      <c r="B120" s="25"/>
      <c r="C120" s="25"/>
      <c r="D120" s="25"/>
      <c r="E120" s="25"/>
      <c r="F120" s="25"/>
      <c r="G120" s="25"/>
      <c r="H120" s="25"/>
    </row>
    <row r="121" spans="1:8" ht="15.6" x14ac:dyDescent="0.3">
      <c r="A121" s="25"/>
      <c r="B121" s="25"/>
      <c r="C121" s="25"/>
      <c r="D121" s="25"/>
      <c r="E121" s="25"/>
      <c r="F121" s="25"/>
      <c r="G121" s="25"/>
      <c r="H121" s="25"/>
    </row>
    <row r="122" spans="1:8" ht="15.6" x14ac:dyDescent="0.3">
      <c r="A122" s="25"/>
      <c r="B122" s="25"/>
      <c r="C122" s="25"/>
      <c r="D122" s="25"/>
      <c r="E122" s="25"/>
      <c r="F122" s="25"/>
      <c r="G122" s="25"/>
      <c r="H122" s="25"/>
    </row>
    <row r="123" spans="1:8" ht="15.6" x14ac:dyDescent="0.3">
      <c r="A123" s="25"/>
      <c r="B123" s="25"/>
      <c r="C123" s="25"/>
      <c r="D123" s="25"/>
      <c r="E123" s="25"/>
      <c r="F123" s="25"/>
      <c r="G123" s="25"/>
      <c r="H123" s="25"/>
    </row>
    <row r="124" spans="1:8" ht="15.6" x14ac:dyDescent="0.3">
      <c r="A124" s="25"/>
      <c r="B124" s="25"/>
      <c r="C124" s="25"/>
      <c r="D124" s="25"/>
      <c r="E124" s="25"/>
      <c r="F124" s="25"/>
      <c r="G124" s="25"/>
      <c r="H124" s="25"/>
    </row>
    <row r="125" spans="1:8" ht="15.6" x14ac:dyDescent="0.3">
      <c r="A125" s="25"/>
      <c r="B125" s="25"/>
      <c r="C125" s="25"/>
      <c r="D125" s="25"/>
      <c r="E125" s="25"/>
      <c r="F125" s="25"/>
      <c r="G125" s="25"/>
      <c r="H125" s="25"/>
    </row>
    <row r="126" spans="1:8" ht="15.6" x14ac:dyDescent="0.3">
      <c r="A126" s="25"/>
      <c r="B126" s="25"/>
      <c r="C126" s="25"/>
      <c r="D126" s="25"/>
      <c r="E126" s="25"/>
      <c r="F126" s="25"/>
      <c r="G126" s="25"/>
      <c r="H126" s="25"/>
    </row>
    <row r="127" spans="1:8" ht="15.6" x14ac:dyDescent="0.3">
      <c r="A127" s="25"/>
      <c r="B127" s="25"/>
      <c r="C127" s="25"/>
      <c r="D127" s="25"/>
      <c r="E127" s="25"/>
      <c r="F127" s="25"/>
      <c r="G127" s="25"/>
      <c r="H127" s="25"/>
    </row>
    <row r="128" spans="1:8" ht="15.6" x14ac:dyDescent="0.3">
      <c r="A128" s="25"/>
      <c r="B128" s="25"/>
      <c r="C128" s="25"/>
      <c r="D128" s="25"/>
      <c r="E128" s="25"/>
      <c r="F128" s="25"/>
      <c r="G128" s="25"/>
      <c r="H128" s="25"/>
    </row>
    <row r="129" spans="1:8" ht="15.6" x14ac:dyDescent="0.3">
      <c r="A129" s="25"/>
      <c r="B129" s="25"/>
      <c r="C129" s="25"/>
      <c r="D129" s="25"/>
      <c r="E129" s="25"/>
      <c r="F129" s="25"/>
      <c r="G129" s="25"/>
      <c r="H129" s="25"/>
    </row>
    <row r="130" spans="1:8" ht="15.6" x14ac:dyDescent="0.3">
      <c r="A130" s="25"/>
      <c r="B130" s="25"/>
      <c r="C130" s="25"/>
      <c r="D130" s="25"/>
      <c r="E130" s="25"/>
      <c r="F130" s="25"/>
      <c r="G130" s="25"/>
      <c r="H130" s="25"/>
    </row>
    <row r="131" spans="1:8" ht="15.6" x14ac:dyDescent="0.3">
      <c r="A131" s="25"/>
      <c r="B131" s="25"/>
      <c r="C131" s="25"/>
      <c r="D131" s="25"/>
      <c r="E131" s="25"/>
      <c r="F131" s="25"/>
      <c r="G131" s="25"/>
      <c r="H131" s="25"/>
    </row>
    <row r="132" spans="1:8" ht="15.6" x14ac:dyDescent="0.3">
      <c r="A132" s="25"/>
      <c r="B132" s="25"/>
      <c r="C132" s="25"/>
      <c r="D132" s="25"/>
      <c r="E132" s="25"/>
      <c r="F132" s="25"/>
      <c r="G132" s="25"/>
      <c r="H132" s="25"/>
    </row>
    <row r="133" spans="1:8" ht="15.6" x14ac:dyDescent="0.3">
      <c r="A133" s="25"/>
      <c r="B133" s="25"/>
      <c r="C133" s="25"/>
      <c r="D133" s="25"/>
      <c r="E133" s="25"/>
      <c r="F133" s="25"/>
      <c r="G133" s="25"/>
      <c r="H133" s="25"/>
    </row>
    <row r="134" spans="1:8" ht="15.6" x14ac:dyDescent="0.3">
      <c r="A134" s="25"/>
      <c r="B134" s="25"/>
      <c r="C134" s="25"/>
      <c r="D134" s="25"/>
      <c r="E134" s="25"/>
      <c r="F134" s="25"/>
      <c r="G134" s="25"/>
      <c r="H134" s="25"/>
    </row>
    <row r="135" spans="1:8" ht="15.6" x14ac:dyDescent="0.3">
      <c r="A135" s="25"/>
      <c r="B135" s="25"/>
      <c r="C135" s="25"/>
      <c r="D135" s="25"/>
      <c r="E135" s="25"/>
      <c r="F135" s="25"/>
      <c r="G135" s="25"/>
      <c r="H135" s="25"/>
    </row>
    <row r="136" spans="1:8" ht="15.6" x14ac:dyDescent="0.3">
      <c r="A136" s="25"/>
      <c r="B136" s="25"/>
      <c r="C136" s="25"/>
      <c r="D136" s="25"/>
      <c r="E136" s="25"/>
      <c r="F136" s="25"/>
      <c r="G136" s="25"/>
      <c r="H136" s="25"/>
    </row>
    <row r="137" spans="1:8" ht="15.6" x14ac:dyDescent="0.3">
      <c r="A137" s="25"/>
      <c r="B137" s="25"/>
      <c r="C137" s="25"/>
      <c r="D137" s="25"/>
      <c r="E137" s="25"/>
      <c r="F137" s="25"/>
      <c r="G137" s="25"/>
      <c r="H137" s="25"/>
    </row>
    <row r="138" spans="1:8" ht="15.6" x14ac:dyDescent="0.3">
      <c r="A138" s="25"/>
      <c r="B138" s="25"/>
      <c r="C138" s="25"/>
      <c r="D138" s="25"/>
      <c r="E138" s="25"/>
      <c r="F138" s="25"/>
      <c r="G138" s="25"/>
      <c r="H138" s="25"/>
    </row>
    <row r="139" spans="1:8" ht="15.6" x14ac:dyDescent="0.3">
      <c r="A139" s="25"/>
      <c r="B139" s="25"/>
      <c r="C139" s="25"/>
      <c r="D139" s="25"/>
      <c r="E139" s="25"/>
      <c r="F139" s="25"/>
      <c r="G139" s="25"/>
      <c r="H139" s="25"/>
    </row>
    <row r="140" spans="1:8" ht="15.6" x14ac:dyDescent="0.3">
      <c r="A140" s="25"/>
      <c r="B140" s="25"/>
      <c r="C140" s="25"/>
      <c r="D140" s="25"/>
      <c r="E140" s="25"/>
      <c r="F140" s="25"/>
      <c r="G140" s="25"/>
      <c r="H140" s="25"/>
    </row>
    <row r="141" spans="1:8" ht="15.6" x14ac:dyDescent="0.3">
      <c r="A141" s="25"/>
      <c r="B141" s="25"/>
      <c r="C141" s="25"/>
      <c r="D141" s="25"/>
      <c r="E141" s="25"/>
      <c r="F141" s="25"/>
      <c r="G141" s="25"/>
      <c r="H141" s="25"/>
    </row>
    <row r="142" spans="1:8" ht="15.6" x14ac:dyDescent="0.3">
      <c r="A142" s="25"/>
      <c r="B142" s="25"/>
      <c r="C142" s="25"/>
      <c r="D142" s="25"/>
      <c r="E142" s="25"/>
      <c r="F142" s="25"/>
      <c r="G142" s="25"/>
      <c r="H142" s="25"/>
    </row>
    <row r="143" spans="1:8" ht="15.6" x14ac:dyDescent="0.3">
      <c r="A143" s="25"/>
      <c r="B143" s="25"/>
      <c r="C143" s="25"/>
      <c r="D143" s="25"/>
      <c r="E143" s="25"/>
      <c r="F143" s="25"/>
      <c r="G143" s="25"/>
      <c r="H143" s="25"/>
    </row>
    <row r="144" spans="1:8" ht="15.6" x14ac:dyDescent="0.3">
      <c r="A144" s="25"/>
      <c r="B144" s="25"/>
      <c r="C144" s="25"/>
      <c r="D144" s="25"/>
      <c r="E144" s="25"/>
      <c r="F144" s="25"/>
      <c r="G144" s="25"/>
      <c r="H144" s="25"/>
    </row>
    <row r="145" spans="1:8" ht="15.6" x14ac:dyDescent="0.3">
      <c r="A145" s="25"/>
      <c r="B145" s="25"/>
      <c r="C145" s="25"/>
      <c r="D145" s="25"/>
      <c r="E145" s="25"/>
      <c r="F145" s="25"/>
      <c r="G145" s="25"/>
      <c r="H145" s="25"/>
    </row>
    <row r="146" spans="1:8" ht="15.6" x14ac:dyDescent="0.3">
      <c r="A146" s="25"/>
      <c r="B146" s="25"/>
      <c r="C146" s="25"/>
      <c r="D146" s="25"/>
      <c r="E146" s="25"/>
      <c r="F146" s="25"/>
      <c r="G146" s="25"/>
      <c r="H146" s="25"/>
    </row>
    <row r="147" spans="1:8" ht="15.6" x14ac:dyDescent="0.3">
      <c r="A147" s="25"/>
      <c r="B147" s="25"/>
      <c r="C147" s="25"/>
      <c r="D147" s="25"/>
      <c r="E147" s="25"/>
      <c r="F147" s="25"/>
      <c r="G147" s="25"/>
      <c r="H147" s="25"/>
    </row>
    <row r="148" spans="1:8" ht="15.6" x14ac:dyDescent="0.3">
      <c r="A148" s="25"/>
      <c r="B148" s="25"/>
      <c r="C148" s="25"/>
      <c r="D148" s="25"/>
      <c r="E148" s="25"/>
      <c r="F148" s="25"/>
      <c r="G148" s="25"/>
      <c r="H148" s="25"/>
    </row>
    <row r="149" spans="1:8" ht="15.6" x14ac:dyDescent="0.3">
      <c r="A149" s="25"/>
      <c r="B149" s="25"/>
      <c r="C149" s="25"/>
      <c r="D149" s="25"/>
      <c r="E149" s="25"/>
      <c r="F149" s="25"/>
      <c r="G149" s="25"/>
      <c r="H149" s="25"/>
    </row>
    <row r="150" spans="1:8" ht="15.6" x14ac:dyDescent="0.3">
      <c r="A150" s="25"/>
      <c r="B150" s="25"/>
      <c r="C150" s="25"/>
      <c r="D150" s="25"/>
      <c r="E150" s="25"/>
      <c r="F150" s="25"/>
      <c r="G150" s="25"/>
      <c r="H150" s="25"/>
    </row>
    <row r="151" spans="1:8" ht="15.6" x14ac:dyDescent="0.3">
      <c r="A151" s="25"/>
      <c r="B151" s="25"/>
      <c r="C151" s="25"/>
      <c r="D151" s="25"/>
      <c r="E151" s="25"/>
      <c r="F151" s="25"/>
      <c r="G151" s="25"/>
      <c r="H151" s="25"/>
    </row>
    <row r="152" spans="1:8" ht="15.6" x14ac:dyDescent="0.3">
      <c r="A152" s="25"/>
      <c r="B152" s="25"/>
      <c r="C152" s="25"/>
      <c r="D152" s="25"/>
      <c r="E152" s="25"/>
      <c r="F152" s="25"/>
      <c r="G152" s="25"/>
      <c r="H152" s="25"/>
    </row>
    <row r="153" spans="1:8" ht="15.6" x14ac:dyDescent="0.3">
      <c r="A153" s="25"/>
      <c r="B153" s="25"/>
      <c r="C153" s="25"/>
      <c r="D153" s="25"/>
      <c r="E153" s="25"/>
      <c r="F153" s="25"/>
      <c r="G153" s="25"/>
      <c r="H153" s="25"/>
    </row>
    <row r="154" spans="1:8" ht="15.6" x14ac:dyDescent="0.3">
      <c r="A154" s="25"/>
      <c r="B154" s="25"/>
      <c r="C154" s="25"/>
      <c r="D154" s="25"/>
      <c r="E154" s="25"/>
      <c r="F154" s="25"/>
      <c r="G154" s="25"/>
      <c r="H154" s="25"/>
    </row>
    <row r="155" spans="1:8" ht="15.6" x14ac:dyDescent="0.3">
      <c r="A155" s="25"/>
      <c r="B155" s="25"/>
      <c r="C155" s="25"/>
      <c r="D155" s="25"/>
      <c r="E155" s="25"/>
      <c r="F155" s="25"/>
      <c r="G155" s="25"/>
      <c r="H155" s="25"/>
    </row>
    <row r="156" spans="1:8" ht="15.6" x14ac:dyDescent="0.3">
      <c r="A156" s="25"/>
      <c r="B156" s="25"/>
      <c r="C156" s="25"/>
      <c r="D156" s="25"/>
      <c r="E156" s="25"/>
      <c r="F156" s="25"/>
      <c r="G156" s="25"/>
      <c r="H156" s="25"/>
    </row>
    <row r="157" spans="1:8" ht="15.6" x14ac:dyDescent="0.3">
      <c r="A157" s="25"/>
      <c r="B157" s="25"/>
      <c r="C157" s="25"/>
      <c r="D157" s="25"/>
      <c r="E157" s="25"/>
      <c r="F157" s="25"/>
      <c r="G157" s="25"/>
      <c r="H157" s="25"/>
    </row>
    <row r="158" spans="1:8" ht="15.6" x14ac:dyDescent="0.3">
      <c r="A158" s="25"/>
      <c r="B158" s="25"/>
      <c r="C158" s="25"/>
      <c r="D158" s="25"/>
      <c r="E158" s="25"/>
      <c r="F158" s="25"/>
      <c r="G158" s="25"/>
      <c r="H158" s="25"/>
    </row>
    <row r="159" spans="1:8" ht="15.6" x14ac:dyDescent="0.3">
      <c r="A159" s="25"/>
      <c r="B159" s="25"/>
      <c r="C159" s="25"/>
      <c r="D159" s="25"/>
      <c r="E159" s="25"/>
      <c r="F159" s="25"/>
      <c r="G159" s="25"/>
      <c r="H159" s="25"/>
    </row>
    <row r="160" spans="1:8" ht="15.6" x14ac:dyDescent="0.3">
      <c r="A160" s="25"/>
      <c r="B160" s="25"/>
      <c r="C160" s="25"/>
      <c r="D160" s="25"/>
      <c r="E160" s="25"/>
      <c r="F160" s="25"/>
      <c r="G160" s="25"/>
      <c r="H160" s="25"/>
    </row>
    <row r="161" spans="1:8" ht="15.6" x14ac:dyDescent="0.3">
      <c r="A161" s="25"/>
      <c r="B161" s="25"/>
      <c r="C161" s="25"/>
      <c r="D161" s="25"/>
      <c r="E161" s="25"/>
      <c r="F161" s="25"/>
      <c r="G161" s="25"/>
      <c r="H161" s="25"/>
    </row>
    <row r="162" spans="1:8" ht="15.6" x14ac:dyDescent="0.3">
      <c r="A162" s="25"/>
      <c r="B162" s="25"/>
      <c r="C162" s="25"/>
      <c r="D162" s="25"/>
      <c r="E162" s="25"/>
      <c r="F162" s="25"/>
      <c r="G162" s="25"/>
      <c r="H162" s="25"/>
    </row>
    <row r="163" spans="1:8" ht="15.6" x14ac:dyDescent="0.3">
      <c r="A163" s="25"/>
      <c r="B163" s="25"/>
      <c r="C163" s="25"/>
      <c r="D163" s="25"/>
      <c r="E163" s="25"/>
      <c r="F163" s="25"/>
      <c r="G163" s="25"/>
      <c r="H163" s="25"/>
    </row>
    <row r="164" spans="1:8" ht="15.6" x14ac:dyDescent="0.3">
      <c r="A164" s="25"/>
      <c r="B164" s="25"/>
      <c r="C164" s="25"/>
      <c r="D164" s="25"/>
      <c r="E164" s="25"/>
      <c r="F164" s="25"/>
      <c r="G164" s="25"/>
      <c r="H164" s="25"/>
    </row>
  </sheetData>
  <mergeCells count="4">
    <mergeCell ref="A1:H1"/>
    <mergeCell ref="A5:H5"/>
    <mergeCell ref="C8:H8"/>
    <mergeCell ref="C9:H9"/>
  </mergeCells>
  <pageMargins left="0.70866141732283472" right="0.70866141732283472" top="0.74803149606299213" bottom="0.74803149606299213" header="0.31496062992125984" footer="0.31496062992125984"/>
  <pageSetup paperSize="9" scale="3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45"/>
  <sheetViews>
    <sheetView workbookViewId="0"/>
  </sheetViews>
  <sheetFormatPr defaultRowHeight="13.2" x14ac:dyDescent="0.25"/>
  <cols>
    <col min="1" max="1" width="62.6640625" customWidth="1"/>
    <col min="2" max="2" width="20.109375" customWidth="1"/>
    <col min="3" max="3" width="23.88671875" customWidth="1"/>
    <col min="4" max="4" width="22" customWidth="1"/>
    <col min="5" max="5" width="77.44140625" customWidth="1"/>
    <col min="8" max="8" width="0" hidden="1" customWidth="1"/>
  </cols>
  <sheetData>
    <row r="1" spans="1:8" ht="21" x14ac:dyDescent="0.4">
      <c r="A1" s="101" t="s">
        <v>427</v>
      </c>
      <c r="B1" s="25"/>
      <c r="C1" s="25"/>
      <c r="D1" s="25"/>
      <c r="E1" s="25"/>
    </row>
    <row r="2" spans="1:8" ht="16.2" thickBot="1" x14ac:dyDescent="0.35">
      <c r="A2" s="21" t="s">
        <v>428</v>
      </c>
      <c r="B2" s="25"/>
      <c r="C2" s="25"/>
      <c r="D2" s="25"/>
      <c r="E2" s="25"/>
    </row>
    <row r="3" spans="1:8" ht="15.6" x14ac:dyDescent="0.3">
      <c r="A3" s="197" t="s">
        <v>114</v>
      </c>
      <c r="B3" s="202"/>
      <c r="C3" s="202"/>
      <c r="D3" s="202"/>
      <c r="E3" s="203"/>
    </row>
    <row r="4" spans="1:8" ht="15.6" x14ac:dyDescent="0.3">
      <c r="A4" s="223" t="s">
        <v>231</v>
      </c>
      <c r="B4" s="238"/>
      <c r="C4" s="238"/>
      <c r="D4" s="238"/>
      <c r="E4" s="220"/>
    </row>
    <row r="5" spans="1:8" ht="21.6" thickBot="1" x14ac:dyDescent="0.45">
      <c r="A5" s="338" t="s">
        <v>362</v>
      </c>
      <c r="B5" s="226"/>
      <c r="C5" s="339"/>
      <c r="D5" s="226"/>
      <c r="E5" s="227"/>
    </row>
    <row r="6" spans="1:8" ht="16.2" thickBot="1" x14ac:dyDescent="0.35">
      <c r="A6" s="21"/>
      <c r="B6" s="25"/>
      <c r="C6" s="25"/>
      <c r="D6" s="25"/>
      <c r="E6" s="25"/>
    </row>
    <row r="7" spans="1:8" ht="15.6" x14ac:dyDescent="0.3">
      <c r="A7" s="274" t="s">
        <v>363</v>
      </c>
      <c r="B7" s="111"/>
      <c r="C7" s="111"/>
      <c r="D7" s="111"/>
      <c r="E7" s="159"/>
    </row>
    <row r="8" spans="1:8" ht="15.6" x14ac:dyDescent="0.3">
      <c r="A8" s="243"/>
      <c r="B8" s="112"/>
      <c r="C8" s="112"/>
      <c r="D8" s="112"/>
      <c r="E8" s="129"/>
    </row>
    <row r="9" spans="1:8" ht="15.6" x14ac:dyDescent="0.3">
      <c r="A9" s="275" t="s">
        <v>320</v>
      </c>
      <c r="B9" s="288" t="s">
        <v>278</v>
      </c>
      <c r="C9" s="288" t="s">
        <v>511</v>
      </c>
      <c r="D9" s="288" t="s">
        <v>38</v>
      </c>
      <c r="E9" s="129"/>
      <c r="H9" s="419" t="s">
        <v>387</v>
      </c>
    </row>
    <row r="10" spans="1:8" ht="31.2" x14ac:dyDescent="0.25">
      <c r="A10" s="289" t="s">
        <v>429</v>
      </c>
      <c r="B10" s="586">
        <f>SUM('Ipex &amp; PACG Redeemable shares'!E24)</f>
        <v>0</v>
      </c>
      <c r="C10" s="587">
        <f>IF($B10&gt;0,'Ipex &amp; PACG Redeemable shares'!B33,0)</f>
        <v>0</v>
      </c>
      <c r="D10" s="587">
        <f>IF($B10&gt;0,'Ipex &amp; PACG Redeemable shares'!C33,0)</f>
        <v>0</v>
      </c>
      <c r="E10" s="291" t="s">
        <v>377</v>
      </c>
      <c r="H10" s="419"/>
    </row>
    <row r="11" spans="1:8" ht="31.2" x14ac:dyDescent="0.25">
      <c r="A11" s="589" t="s">
        <v>510</v>
      </c>
      <c r="B11" s="588">
        <v>0</v>
      </c>
      <c r="C11" s="410">
        <v>0</v>
      </c>
      <c r="D11" s="410">
        <v>0</v>
      </c>
      <c r="E11" s="291" t="s">
        <v>512</v>
      </c>
    </row>
    <row r="12" spans="1:8" ht="15.6" x14ac:dyDescent="0.3">
      <c r="A12" s="275" t="s">
        <v>91</v>
      </c>
      <c r="B12" s="288" t="s">
        <v>104</v>
      </c>
      <c r="C12" s="112"/>
      <c r="D12" s="112"/>
      <c r="E12" s="129"/>
    </row>
    <row r="13" spans="1:8" ht="15.6" x14ac:dyDescent="0.3">
      <c r="A13" s="128" t="s">
        <v>102</v>
      </c>
      <c r="B13" s="244">
        <f>SUM('s104 holdings'!O125:O138)</f>
        <v>0</v>
      </c>
      <c r="C13" s="112"/>
      <c r="D13" s="112"/>
      <c r="E13" s="129"/>
    </row>
    <row r="14" spans="1:8" ht="15.6" x14ac:dyDescent="0.3">
      <c r="A14" s="128" t="str">
        <f>IF(B10&gt;0,"From redemption of "&amp;B10&amp;" PACG2 redeemable shares","Row not applicable")</f>
        <v>Row not applicable</v>
      </c>
      <c r="B14" s="244">
        <f>'Ipex &amp; PACG Redeemable shares'!B33</f>
        <v>0</v>
      </c>
      <c r="C14" s="112"/>
      <c r="D14" s="112"/>
      <c r="E14" s="129"/>
    </row>
    <row r="15" spans="1:8" ht="15.6" x14ac:dyDescent="0.3">
      <c r="A15" s="128" t="str">
        <f>IF(B11&gt;0,"From redemption of "&amp;B11&amp;" PS 2006.0 Alphabet shares","Row not applicable")</f>
        <v>Row not applicable</v>
      </c>
      <c r="B15" s="244">
        <f>C11</f>
        <v>0</v>
      </c>
      <c r="C15" s="112"/>
      <c r="D15" s="112"/>
      <c r="E15" s="129"/>
    </row>
    <row r="16" spans="1:8" ht="15.6" x14ac:dyDescent="0.3">
      <c r="A16" s="128" t="s">
        <v>103</v>
      </c>
      <c r="B16" s="294"/>
      <c r="C16" s="112"/>
      <c r="D16" s="112"/>
      <c r="E16" s="129"/>
    </row>
    <row r="17" spans="1:5" ht="15.6" x14ac:dyDescent="0.3">
      <c r="A17" s="243" t="s">
        <v>41</v>
      </c>
      <c r="B17" s="295">
        <f>SUM(B13:B16)</f>
        <v>0</v>
      </c>
      <c r="C17" s="112"/>
      <c r="D17" s="112"/>
      <c r="E17" s="129"/>
    </row>
    <row r="18" spans="1:5" ht="15.6" x14ac:dyDescent="0.3">
      <c r="A18" s="128" t="s">
        <v>430</v>
      </c>
      <c r="B18" s="340" t="str">
        <f>IF(B17&gt;44400,"Yes, you are required to report your disposal on your tax return", "       ")</f>
        <v xml:space="preserve">       </v>
      </c>
      <c r="C18" s="340"/>
      <c r="D18" s="340"/>
      <c r="E18" s="554"/>
    </row>
    <row r="19" spans="1:5" ht="35.25" customHeight="1" x14ac:dyDescent="0.3">
      <c r="A19" s="128"/>
      <c r="B19" s="680" t="str">
        <f>IF(B17&lt;44400,"If you’re not registered for Self Assessment you don’t need to do anything, you are only required to report if taxable gains more than £11,100 or elections to be made","")</f>
        <v>If you’re not registered for Self Assessment you don’t need to do anything, you are only required to report if taxable gains more than £11,100 or elections to be made</v>
      </c>
      <c r="C19" s="680"/>
      <c r="D19" s="680"/>
      <c r="E19" s="681"/>
    </row>
    <row r="20" spans="1:5" ht="15.6" x14ac:dyDescent="0.3">
      <c r="A20" s="128"/>
      <c r="B20" s="680" t="str">
        <f>IF(B17&lt;44400,"If you’re registered for Self Assessment you must still fill in the capital gains section of your tax return.","")</f>
        <v>If you’re registered for Self Assessment you must still fill in the capital gains section of your tax return.</v>
      </c>
      <c r="C20" s="680"/>
      <c r="D20" s="680"/>
      <c r="E20" s="681"/>
    </row>
    <row r="21" spans="1:5" ht="37.5" customHeight="1" x14ac:dyDescent="0.3">
      <c r="A21" s="128"/>
      <c r="B21" s="680" t="str">
        <f>IF(B17&lt;44400,"To do this: 1. Confirm that you need to complete the capital gains section in ‘Tailor your return’, 2. In the ‘Details of chargeable assets…’ page select ‘No’ for each question - you won’t need to report anything else about your capital gains or losses.","")</f>
        <v>To do this: 1. Confirm that you need to complete the capital gains section in ‘Tailor your return’, 2. In the ‘Details of chargeable assets…’ page select ‘No’ for each question - you won’t need to report anything else about your capital gains or losses.</v>
      </c>
      <c r="C21" s="680"/>
      <c r="D21" s="680"/>
      <c r="E21" s="681"/>
    </row>
    <row r="22" spans="1:5" ht="15.6" x14ac:dyDescent="0.3">
      <c r="A22" s="128"/>
      <c r="B22" s="112"/>
      <c r="C22" s="112"/>
      <c r="D22" s="112"/>
      <c r="E22" s="129"/>
    </row>
    <row r="23" spans="1:5" ht="15.6" x14ac:dyDescent="0.3">
      <c r="A23" s="128"/>
      <c r="B23" s="112"/>
      <c r="C23" s="112"/>
      <c r="D23" s="112"/>
      <c r="E23" s="129"/>
    </row>
    <row r="24" spans="1:5" ht="15.6" x14ac:dyDescent="0.3">
      <c r="A24" s="275" t="s">
        <v>418</v>
      </c>
      <c r="B24" s="288" t="s">
        <v>419</v>
      </c>
      <c r="C24" s="112"/>
      <c r="D24" s="112"/>
      <c r="E24" s="129"/>
    </row>
    <row r="25" spans="1:5" ht="15.6" x14ac:dyDescent="0.3">
      <c r="A25" s="128" t="str">
        <f>A13</f>
        <v>From PA share sales per s104 Holdings sheet</v>
      </c>
      <c r="B25" s="244">
        <f>SUM('s104 holdings'!P125:P138)</f>
        <v>0</v>
      </c>
      <c r="C25" s="112"/>
      <c r="D25" s="112"/>
      <c r="E25" s="129"/>
    </row>
    <row r="26" spans="1:5" ht="15.6" x14ac:dyDescent="0.3">
      <c r="A26" s="128" t="str">
        <f>IF(B14&gt;0,"Gain on above PACG2 share redemption","Row not applicable")</f>
        <v>Row not applicable</v>
      </c>
      <c r="B26" s="244">
        <f>D10</f>
        <v>0</v>
      </c>
      <c r="C26" s="112"/>
      <c r="D26" s="112"/>
      <c r="E26" s="129"/>
    </row>
    <row r="27" spans="1:5" ht="15.6" x14ac:dyDescent="0.3">
      <c r="A27" s="128" t="str">
        <f>IF(B15&gt;0,"Gain on above alphabet share redemption","Row not applicable")</f>
        <v>Row not applicable</v>
      </c>
      <c r="B27" s="244">
        <f>D11</f>
        <v>0</v>
      </c>
      <c r="C27" s="112"/>
      <c r="D27" s="112"/>
      <c r="E27" s="129"/>
    </row>
    <row r="28" spans="1:5" ht="16.2" thickBot="1" x14ac:dyDescent="0.35">
      <c r="A28" s="128" t="str">
        <f>A16</f>
        <v>Any non-PA chargeable sales you made</v>
      </c>
      <c r="B28" s="294"/>
      <c r="C28" s="112"/>
      <c r="D28" s="112"/>
      <c r="E28" s="129"/>
    </row>
    <row r="29" spans="1:5" ht="15.6" x14ac:dyDescent="0.3">
      <c r="A29" s="243" t="s">
        <v>417</v>
      </c>
      <c r="B29" s="295">
        <f>SUM(B25:B28)</f>
        <v>0</v>
      </c>
      <c r="C29" s="112"/>
      <c r="D29" s="242" t="s">
        <v>413</v>
      </c>
      <c r="E29" s="159"/>
    </row>
    <row r="30" spans="1:5" ht="15.6" x14ac:dyDescent="0.3">
      <c r="A30" s="128"/>
      <c r="B30" s="296"/>
      <c r="C30" s="296"/>
      <c r="D30" s="458">
        <f>IF('1415 TR pages'!D35&gt;0,'1415 TR pages'!D35,0)</f>
        <v>0</v>
      </c>
      <c r="E30" s="432" t="s">
        <v>414</v>
      </c>
    </row>
    <row r="31" spans="1:5" ht="15.6" x14ac:dyDescent="0.3">
      <c r="A31" s="128" t="s">
        <v>412</v>
      </c>
      <c r="B31" s="440">
        <f>-D31</f>
        <v>0</v>
      </c>
      <c r="C31" s="112"/>
      <c r="D31" s="434">
        <f>IF(D35&gt;0,MIN(-D30,D35),0)</f>
        <v>0</v>
      </c>
      <c r="E31" s="437" t="s">
        <v>415</v>
      </c>
    </row>
    <row r="32" spans="1:5" ht="16.2" thickBot="1" x14ac:dyDescent="0.35">
      <c r="A32" s="128" t="s">
        <v>45</v>
      </c>
      <c r="B32" s="435">
        <v>-11100</v>
      </c>
      <c r="C32" s="112"/>
      <c r="D32" s="436">
        <f>SUM(D30:D31)</f>
        <v>0</v>
      </c>
      <c r="E32" s="438" t="s">
        <v>416</v>
      </c>
    </row>
    <row r="33" spans="1:5" ht="15.6" x14ac:dyDescent="0.3">
      <c r="A33" s="243" t="s">
        <v>46</v>
      </c>
      <c r="B33" s="295">
        <f>MAX(0,SUM(B29:B32))</f>
        <v>0</v>
      </c>
      <c r="C33" s="112"/>
      <c r="D33" s="489"/>
      <c r="E33" s="490"/>
    </row>
    <row r="34" spans="1:5" ht="15.6" x14ac:dyDescent="0.3">
      <c r="A34" s="128" t="s">
        <v>431</v>
      </c>
      <c r="B34" s="340" t="str">
        <f>IF(B33&gt;0,"Yes, you must report your gains on your tax return","No, you only need report gains where total disposal proceeds are greater than 4 x £11,100 exemption or elections being made")</f>
        <v>No, you only need report gains where total disposal proceeds are greater than 4 x £11,100 exemption or elections being made</v>
      </c>
      <c r="C34" s="112"/>
      <c r="D34" s="112"/>
      <c r="E34" s="129"/>
    </row>
    <row r="35" spans="1:5" ht="15.6" x14ac:dyDescent="0.3">
      <c r="A35" s="298" t="str">
        <f>IF(B33&gt;0,"Tax @28% due by 31 January 2017 on your gains:","")</f>
        <v/>
      </c>
      <c r="B35" s="299" t="str">
        <f>IF(A35="","",ROUND(B33*28%,2))</f>
        <v/>
      </c>
      <c r="C35" s="112"/>
      <c r="D35" s="439">
        <f>SUM(B32,B29)</f>
        <v>-11100</v>
      </c>
      <c r="E35" s="129"/>
    </row>
    <row r="36" spans="1:5" ht="16.2" thickBot="1" x14ac:dyDescent="0.35">
      <c r="A36" s="300"/>
      <c r="B36" s="148"/>
      <c r="C36" s="148"/>
      <c r="D36" s="148"/>
      <c r="E36" s="150"/>
    </row>
    <row r="37" spans="1:5" ht="16.2" thickBot="1" x14ac:dyDescent="0.35">
      <c r="A37" s="25"/>
      <c r="B37" s="25"/>
      <c r="C37" s="25"/>
      <c r="D37" s="25"/>
      <c r="E37" s="25"/>
    </row>
    <row r="38" spans="1:5" ht="18.600000000000001" thickBot="1" x14ac:dyDescent="0.4">
      <c r="A38" s="685" t="s">
        <v>390</v>
      </c>
      <c r="B38" s="686"/>
      <c r="C38" s="686"/>
      <c r="D38" s="686"/>
      <c r="E38" s="687"/>
    </row>
    <row r="39" spans="1:5" ht="15.6" x14ac:dyDescent="0.3">
      <c r="A39" s="25"/>
      <c r="B39" s="25"/>
      <c r="C39" s="25"/>
      <c r="D39" s="25"/>
      <c r="E39" s="25"/>
    </row>
    <row r="40" spans="1:5" ht="35.25" customHeight="1" x14ac:dyDescent="0.25">
      <c r="A40" s="688" t="s">
        <v>391</v>
      </c>
      <c r="B40" s="688"/>
      <c r="C40" s="688"/>
      <c r="D40" s="688"/>
      <c r="E40" s="688"/>
    </row>
    <row r="41" spans="1:5" ht="17.25" customHeight="1" thickBot="1" x14ac:dyDescent="0.3">
      <c r="A41" s="443"/>
      <c r="B41" s="443"/>
      <c r="C41" s="443"/>
      <c r="D41" s="443"/>
      <c r="E41" s="443"/>
    </row>
    <row r="42" spans="1:5" ht="15.6" x14ac:dyDescent="0.3">
      <c r="A42" s="274" t="s">
        <v>432</v>
      </c>
      <c r="B42" s="322"/>
      <c r="C42" s="323"/>
      <c r="D42" s="324"/>
      <c r="E42" s="325"/>
    </row>
    <row r="43" spans="1:5" ht="16.2" thickBot="1" x14ac:dyDescent="0.35">
      <c r="A43" s="298" t="s">
        <v>393</v>
      </c>
      <c r="B43" s="318"/>
      <c r="C43" s="319"/>
      <c r="D43" s="320"/>
      <c r="E43" s="326"/>
    </row>
    <row r="44" spans="1:5" ht="16.2" thickBot="1" x14ac:dyDescent="0.35">
      <c r="A44" s="342" t="s">
        <v>337</v>
      </c>
      <c r="B44" s="327">
        <f>COUNT(C69:C76)</f>
        <v>0</v>
      </c>
      <c r="C44" s="701"/>
      <c r="D44" s="702"/>
      <c r="E44" s="703"/>
    </row>
    <row r="45" spans="1:5" ht="16.2" thickBot="1" x14ac:dyDescent="0.35">
      <c r="A45" s="342" t="s">
        <v>91</v>
      </c>
      <c r="B45" s="444">
        <f>ROUNDDOWN(D77,0)</f>
        <v>0</v>
      </c>
      <c r="C45" s="701"/>
      <c r="D45" s="702"/>
      <c r="E45" s="703"/>
    </row>
    <row r="46" spans="1:5" ht="16.2" thickBot="1" x14ac:dyDescent="0.35">
      <c r="A46" s="342" t="s">
        <v>338</v>
      </c>
      <c r="B46" s="444">
        <f>D77-E77</f>
        <v>0</v>
      </c>
      <c r="C46" s="701"/>
      <c r="D46" s="702"/>
      <c r="E46" s="703"/>
    </row>
    <row r="47" spans="1:5" ht="16.2" thickBot="1" x14ac:dyDescent="0.35">
      <c r="A47" s="342" t="s">
        <v>340</v>
      </c>
      <c r="B47" s="444">
        <f>ROUNDDOWN(E77,0)</f>
        <v>0</v>
      </c>
      <c r="C47" s="701"/>
      <c r="D47" s="702"/>
      <c r="E47" s="703"/>
    </row>
    <row r="48" spans="1:5" ht="16.2" thickBot="1" x14ac:dyDescent="0.35">
      <c r="A48" s="342" t="s">
        <v>341</v>
      </c>
      <c r="B48" s="444" t="s">
        <v>69</v>
      </c>
      <c r="C48" s="701"/>
      <c r="D48" s="702"/>
      <c r="E48" s="703"/>
    </row>
    <row r="49" spans="1:6" ht="28.5" customHeight="1" thickBot="1" x14ac:dyDescent="0.3">
      <c r="A49" s="584" t="s">
        <v>342</v>
      </c>
      <c r="B49" s="585" t="s">
        <v>69</v>
      </c>
      <c r="C49" s="704"/>
      <c r="D49" s="705"/>
      <c r="E49" s="706"/>
    </row>
    <row r="50" spans="1:6" ht="16.2" thickBot="1" x14ac:dyDescent="0.35">
      <c r="A50" s="112"/>
      <c r="B50" s="318"/>
      <c r="C50" s="319"/>
      <c r="D50" s="320"/>
      <c r="E50" s="321"/>
    </row>
    <row r="51" spans="1:6" ht="15.6" x14ac:dyDescent="0.3">
      <c r="A51" s="274" t="s">
        <v>434</v>
      </c>
      <c r="B51" s="322"/>
      <c r="C51" s="323"/>
      <c r="D51" s="324"/>
      <c r="E51" s="325"/>
      <c r="F51" s="3"/>
    </row>
    <row r="52" spans="1:6" ht="16.2" thickBot="1" x14ac:dyDescent="0.35">
      <c r="A52" s="298" t="s">
        <v>393</v>
      </c>
      <c r="B52" s="318"/>
      <c r="C52" s="319"/>
      <c r="D52" s="320"/>
      <c r="E52" s="326"/>
      <c r="F52" s="3"/>
    </row>
    <row r="53" spans="1:6" ht="16.2" thickBot="1" x14ac:dyDescent="0.35">
      <c r="A53" s="342" t="s">
        <v>397</v>
      </c>
      <c r="B53" s="689" t="s">
        <v>400</v>
      </c>
      <c r="C53" s="690"/>
      <c r="D53" s="691"/>
      <c r="E53" s="326"/>
      <c r="F53" s="3"/>
    </row>
    <row r="54" spans="1:6" ht="16.2" thickBot="1" x14ac:dyDescent="0.35">
      <c r="A54" s="342" t="s">
        <v>401</v>
      </c>
      <c r="B54" s="689" t="s">
        <v>80</v>
      </c>
      <c r="C54" s="690"/>
      <c r="D54" s="691"/>
      <c r="E54" s="326"/>
      <c r="F54" s="3"/>
    </row>
    <row r="55" spans="1:6" ht="16.2" thickBot="1" x14ac:dyDescent="0.35">
      <c r="A55" s="342" t="s">
        <v>398</v>
      </c>
      <c r="B55" s="692" t="s">
        <v>80</v>
      </c>
      <c r="C55" s="693"/>
      <c r="D55" s="694"/>
      <c r="E55" s="326"/>
      <c r="F55" s="3"/>
    </row>
    <row r="56" spans="1:6" ht="16.2" thickBot="1" x14ac:dyDescent="0.35">
      <c r="A56" s="343" t="s">
        <v>399</v>
      </c>
      <c r="B56" s="695">
        <f>D31</f>
        <v>0</v>
      </c>
      <c r="C56" s="696"/>
      <c r="D56" s="697"/>
      <c r="E56" s="326"/>
      <c r="F56" s="3"/>
    </row>
    <row r="57" spans="1:6" s="426" customFormat="1" ht="81" customHeight="1" thickBot="1" x14ac:dyDescent="0.3">
      <c r="A57" s="428" t="s">
        <v>403</v>
      </c>
      <c r="B57" s="698" t="s">
        <v>402</v>
      </c>
      <c r="C57" s="699"/>
      <c r="D57" s="700"/>
      <c r="E57" s="326"/>
      <c r="F57" s="3"/>
    </row>
    <row r="58" spans="1:6" ht="16.2" thickBot="1" x14ac:dyDescent="0.35">
      <c r="A58" s="428" t="s">
        <v>405</v>
      </c>
      <c r="B58" s="695">
        <f>B30</f>
        <v>0</v>
      </c>
      <c r="C58" s="696"/>
      <c r="D58" s="697"/>
      <c r="E58" s="326"/>
      <c r="F58" s="3"/>
    </row>
    <row r="59" spans="1:6" ht="16.2" thickBot="1" x14ac:dyDescent="0.3">
      <c r="A59" s="428" t="s">
        <v>406</v>
      </c>
      <c r="B59" s="698" t="s">
        <v>80</v>
      </c>
      <c r="C59" s="699"/>
      <c r="D59" s="700"/>
      <c r="E59" s="326"/>
      <c r="F59" s="3"/>
    </row>
    <row r="60" spans="1:6" ht="31.8" thickBot="1" x14ac:dyDescent="0.3">
      <c r="A60" s="428" t="s">
        <v>407</v>
      </c>
      <c r="B60" s="698" t="s">
        <v>80</v>
      </c>
      <c r="C60" s="699"/>
      <c r="D60" s="700"/>
      <c r="E60" s="326"/>
      <c r="F60" s="3"/>
    </row>
    <row r="61" spans="1:6" ht="31.8" thickBot="1" x14ac:dyDescent="0.3">
      <c r="A61" s="428" t="s">
        <v>408</v>
      </c>
      <c r="B61" s="698" t="s">
        <v>80</v>
      </c>
      <c r="C61" s="699"/>
      <c r="D61" s="700"/>
      <c r="E61" s="326"/>
      <c r="F61" s="3"/>
    </row>
    <row r="62" spans="1:6" s="426" customFormat="1" ht="81" customHeight="1" thickBot="1" x14ac:dyDescent="0.3">
      <c r="A62" s="428" t="s">
        <v>409</v>
      </c>
      <c r="B62" s="682">
        <f>IF((B25+B28-B26-B30+B32)&lt;0,(B25+B28-B30),0)</f>
        <v>0</v>
      </c>
      <c r="C62" s="683"/>
      <c r="D62" s="684"/>
      <c r="E62" s="425" t="s">
        <v>402</v>
      </c>
      <c r="F62" s="3"/>
    </row>
    <row r="63" spans="1:6" ht="29.25" customHeight="1" thickBot="1" x14ac:dyDescent="0.35">
      <c r="A63" s="427"/>
      <c r="B63" s="355"/>
      <c r="C63" s="330"/>
      <c r="D63" s="330"/>
      <c r="E63" s="336"/>
      <c r="F63" s="3"/>
    </row>
    <row r="64" spans="1:6" ht="35.25" customHeight="1" x14ac:dyDescent="0.3">
      <c r="A64" s="590" t="s">
        <v>261</v>
      </c>
      <c r="B64" s="301"/>
      <c r="C64" s="301"/>
      <c r="D64" s="301"/>
      <c r="E64" s="302"/>
    </row>
    <row r="65" spans="1:6" ht="15.6" x14ac:dyDescent="0.3">
      <c r="A65" s="303" t="s">
        <v>267</v>
      </c>
      <c r="B65" s="110"/>
      <c r="C65" s="110"/>
      <c r="D65" s="110"/>
      <c r="E65" s="51"/>
    </row>
    <row r="66" spans="1:6" ht="15.6" x14ac:dyDescent="0.3">
      <c r="A66" s="303" t="s">
        <v>513</v>
      </c>
      <c r="B66" s="110"/>
      <c r="C66" s="110"/>
      <c r="D66" s="110"/>
      <c r="E66" s="51"/>
    </row>
    <row r="67" spans="1:6" ht="15.6" x14ac:dyDescent="0.3">
      <c r="A67" s="46"/>
      <c r="B67" s="110"/>
      <c r="C67" s="110"/>
      <c r="D67" s="110"/>
      <c r="E67" s="51"/>
    </row>
    <row r="68" spans="1:6" ht="15.6" x14ac:dyDescent="0.3">
      <c r="A68" s="304" t="s">
        <v>245</v>
      </c>
      <c r="B68" s="305" t="s">
        <v>53</v>
      </c>
      <c r="C68" s="306" t="s">
        <v>55</v>
      </c>
      <c r="D68" s="306" t="s">
        <v>54</v>
      </c>
      <c r="E68" s="307" t="s">
        <v>56</v>
      </c>
    </row>
    <row r="69" spans="1:6" ht="15.6" x14ac:dyDescent="0.3">
      <c r="A69" s="46" t="str">
        <f>IF(B11&gt;0,"PA International Limited PS.2006.0 shares","")</f>
        <v/>
      </c>
      <c r="B69" s="591" t="str">
        <f>IF(B11&gt;0,"16/06/2015","")</f>
        <v/>
      </c>
      <c r="C69" s="592" t="str">
        <f>IF(B11&gt;0,B11,"")</f>
        <v/>
      </c>
      <c r="D69" s="593" t="str">
        <f>IF(B11&gt;0,C11,"")</f>
        <v/>
      </c>
      <c r="E69" s="594" t="str">
        <f>IF(B11&gt;0,D11,"")</f>
        <v/>
      </c>
    </row>
    <row r="70" spans="1:6" ht="15.6" x14ac:dyDescent="0.3">
      <c r="A70" s="46" t="str">
        <f t="shared" ref="A70:A75" si="0">IF(C70="","","PA Consulting Group Limited 10 pence Ordinary Shares")</f>
        <v/>
      </c>
      <c r="B70" s="308" t="str">
        <f>IF(A70="","",'s104 holdings'!C125)</f>
        <v/>
      </c>
      <c r="C70" s="190" t="str">
        <f>IF('s104 holdings'!F125&lt;&gt;0,-'s104 holdings'!F125,"")</f>
        <v/>
      </c>
      <c r="D70" s="117" t="str">
        <f>IF(C70="","",'s104 holdings'!O125)</f>
        <v/>
      </c>
      <c r="E70" s="309" t="str">
        <f>IF(D70="","",'s104 holdings'!P125)</f>
        <v/>
      </c>
      <c r="F70" s="8"/>
    </row>
    <row r="71" spans="1:6" ht="15.6" x14ac:dyDescent="0.3">
      <c r="A71" s="46" t="str">
        <f t="shared" si="0"/>
        <v/>
      </c>
      <c r="B71" s="308" t="str">
        <f>IF(A71="","",'s104 holdings'!C127)</f>
        <v/>
      </c>
      <c r="C71" s="190" t="str">
        <f>IF('s104 holdings'!F127&lt;&gt;0,-'s104 holdings'!F127,"")</f>
        <v/>
      </c>
      <c r="D71" s="117" t="str">
        <f>IF(C71="","",'s104 holdings'!O127)</f>
        <v/>
      </c>
      <c r="E71" s="309" t="str">
        <f>IF(D71="","",'s104 holdings'!P127)</f>
        <v/>
      </c>
    </row>
    <row r="72" spans="1:6" ht="15.6" x14ac:dyDescent="0.3">
      <c r="A72" s="46" t="str">
        <f t="shared" si="0"/>
        <v/>
      </c>
      <c r="B72" s="308" t="str">
        <f>IF(A72="","",'s104 holdings'!C128)</f>
        <v/>
      </c>
      <c r="C72" s="190" t="str">
        <f>IF('s104 holdings'!F128&lt;&gt;0,-'s104 holdings'!F128,"")</f>
        <v/>
      </c>
      <c r="D72" s="117" t="str">
        <f>IF(C72="","",'s104 holdings'!O128)</f>
        <v/>
      </c>
      <c r="E72" s="309" t="str">
        <f>IF(D72="","",'s104 holdings'!P128)</f>
        <v/>
      </c>
      <c r="F72" s="8"/>
    </row>
    <row r="73" spans="1:6" ht="15.6" x14ac:dyDescent="0.3">
      <c r="A73" s="46" t="str">
        <f>IF(C73="","","PA Consulting Group Limited 10 pence Ordinary Shares")</f>
        <v/>
      </c>
      <c r="B73" s="308" t="str">
        <f>IF(A73="","",'s104 holdings'!C129)</f>
        <v/>
      </c>
      <c r="C73" s="190" t="str">
        <f>IF('s104 holdings'!K129&lt;&gt;0,-'s104 holdings'!K129,"")</f>
        <v/>
      </c>
      <c r="D73" s="117" t="str">
        <f>IF(C73="","",'s104 holdings'!O129)</f>
        <v/>
      </c>
      <c r="E73" s="309" t="str">
        <f>IF(D73="","",'s104 holdings'!P129)</f>
        <v/>
      </c>
      <c r="F73" s="8"/>
    </row>
    <row r="74" spans="1:6" ht="15.6" x14ac:dyDescent="0.3">
      <c r="A74" s="46" t="str">
        <f t="shared" si="0"/>
        <v/>
      </c>
      <c r="B74" s="308" t="str">
        <f>IF(A74="","",'s104 holdings'!C130)</f>
        <v/>
      </c>
      <c r="C74" s="190" t="str">
        <f>IF('s104 holdings'!F130&lt;&gt;0,-'s104 holdings'!F130,"")</f>
        <v/>
      </c>
      <c r="D74" s="117" t="str">
        <f>IF(C74="","",'s104 holdings'!O130)</f>
        <v/>
      </c>
      <c r="E74" s="309" t="str">
        <f>IF(D74="","",'s104 holdings'!P130)</f>
        <v/>
      </c>
      <c r="F74" s="8"/>
    </row>
    <row r="75" spans="1:6" ht="15.6" x14ac:dyDescent="0.3">
      <c r="A75" s="46" t="str">
        <f t="shared" si="0"/>
        <v/>
      </c>
      <c r="B75" s="308" t="str">
        <f>IF(A75="","",'s104 holdings'!C138)</f>
        <v/>
      </c>
      <c r="C75" s="190" t="str">
        <f>IF('s104 holdings'!F138&lt;&gt;0,-'s104 holdings'!F138,"")</f>
        <v/>
      </c>
      <c r="D75" s="117" t="str">
        <f>IF(C75="","",'s104 holdings'!O138)</f>
        <v/>
      </c>
      <c r="E75" s="309" t="str">
        <f>IF(D75="","",'s104 holdings'!P138)</f>
        <v/>
      </c>
    </row>
    <row r="76" spans="1:6" ht="15.6" x14ac:dyDescent="0.3">
      <c r="A76" s="46" t="str">
        <f>IF(C76="","","PA Consulting Group Limited Redeemable Shares")</f>
        <v/>
      </c>
      <c r="B76" s="308" t="str">
        <f>IF(A76="","",'Ipex &amp; PACG Redeemable shares'!A24)</f>
        <v/>
      </c>
      <c r="C76" s="190" t="str">
        <f>IF(B10&lt;&gt;0,B10,"")</f>
        <v/>
      </c>
      <c r="D76" s="117" t="str">
        <f>IF(C76="","",B14)</f>
        <v/>
      </c>
      <c r="E76" s="309" t="str">
        <f>IF(D76="","",B26)</f>
        <v/>
      </c>
      <c r="F76" s="8"/>
    </row>
    <row r="77" spans="1:6" ht="15.6" x14ac:dyDescent="0.3">
      <c r="A77" s="46" t="s">
        <v>63</v>
      </c>
      <c r="B77" s="310"/>
      <c r="C77" s="311"/>
      <c r="D77" s="312">
        <f>SUM(D69:D76)</f>
        <v>0</v>
      </c>
      <c r="E77" s="313">
        <f>SUM(E69:E76)</f>
        <v>0</v>
      </c>
    </row>
    <row r="78" spans="1:6" ht="16.2" thickBot="1" x14ac:dyDescent="0.35">
      <c r="A78" s="53"/>
      <c r="B78" s="314"/>
      <c r="C78" s="315"/>
      <c r="D78" s="316"/>
      <c r="E78" s="317"/>
    </row>
    <row r="79" spans="1:6" ht="16.2" thickBot="1" x14ac:dyDescent="0.35">
      <c r="A79" s="112"/>
      <c r="B79" s="318"/>
      <c r="C79" s="319"/>
      <c r="D79" s="320"/>
      <c r="E79" s="321"/>
    </row>
    <row r="80" spans="1:6" ht="15.6" x14ac:dyDescent="0.3">
      <c r="A80" s="274" t="s">
        <v>435</v>
      </c>
      <c r="B80" s="322"/>
      <c r="C80" s="323"/>
      <c r="D80" s="324"/>
      <c r="E80" s="325"/>
    </row>
    <row r="81" spans="1:5" ht="15.6" x14ac:dyDescent="0.3">
      <c r="A81" s="298" t="s">
        <v>393</v>
      </c>
      <c r="B81" s="318"/>
      <c r="C81" s="319"/>
      <c r="D81" s="320"/>
      <c r="E81" s="326"/>
    </row>
    <row r="82" spans="1:5" ht="16.2" thickBot="1" x14ac:dyDescent="0.35">
      <c r="A82" s="243" t="s">
        <v>73</v>
      </c>
      <c r="B82" s="310"/>
      <c r="C82" s="311"/>
      <c r="D82" s="329"/>
      <c r="E82" s="336"/>
    </row>
    <row r="83" spans="1:5" ht="16.2" thickBot="1" x14ac:dyDescent="0.35">
      <c r="A83" s="342" t="s">
        <v>74</v>
      </c>
      <c r="B83" s="310"/>
      <c r="C83" s="342" t="s">
        <v>76</v>
      </c>
      <c r="D83" s="342"/>
      <c r="E83" s="342"/>
    </row>
    <row r="84" spans="1:5" ht="16.2" thickBot="1" x14ac:dyDescent="0.35">
      <c r="A84" s="444">
        <f>ROUNDDOWN(B29,0)</f>
        <v>0</v>
      </c>
      <c r="B84" s="310"/>
      <c r="C84" s="679">
        <f>MAX(0,D32)</f>
        <v>0</v>
      </c>
      <c r="D84" s="679"/>
      <c r="E84" s="679"/>
    </row>
    <row r="85" spans="1:5" ht="16.2" thickBot="1" x14ac:dyDescent="0.35">
      <c r="A85" s="128"/>
      <c r="B85" s="310"/>
      <c r="C85" s="311"/>
      <c r="D85" s="329"/>
      <c r="E85" s="336"/>
    </row>
    <row r="86" spans="1:5" ht="16.2" thickBot="1" x14ac:dyDescent="0.35">
      <c r="A86" s="342" t="s">
        <v>260</v>
      </c>
      <c r="B86" s="310"/>
      <c r="C86" s="343" t="s">
        <v>78</v>
      </c>
      <c r="D86" s="344"/>
      <c r="E86" s="345"/>
    </row>
    <row r="87" spans="1:5" ht="16.2" thickBot="1" x14ac:dyDescent="0.35">
      <c r="A87" s="444" t="s">
        <v>80</v>
      </c>
      <c r="B87" s="310"/>
      <c r="C87" s="678" t="s">
        <v>80</v>
      </c>
      <c r="D87" s="678"/>
      <c r="E87" s="678"/>
    </row>
    <row r="88" spans="1:5" ht="16.2" thickBot="1" x14ac:dyDescent="0.35">
      <c r="A88" s="128"/>
      <c r="B88" s="310"/>
      <c r="C88" s="311"/>
      <c r="D88" s="329"/>
      <c r="E88" s="336"/>
    </row>
    <row r="89" spans="1:5" ht="16.2" thickBot="1" x14ac:dyDescent="0.35">
      <c r="A89" s="342" t="s">
        <v>256</v>
      </c>
      <c r="B89" s="310"/>
      <c r="C89" s="342" t="s">
        <v>329</v>
      </c>
      <c r="D89" s="342"/>
      <c r="E89" s="342"/>
    </row>
    <row r="90" spans="1:5" ht="16.2" thickBot="1" x14ac:dyDescent="0.35">
      <c r="A90" s="444">
        <v>0</v>
      </c>
      <c r="B90" s="310"/>
      <c r="C90" s="679" t="s">
        <v>80</v>
      </c>
      <c r="D90" s="679"/>
      <c r="E90" s="679"/>
    </row>
    <row r="91" spans="1:5" ht="16.2" thickBot="1" x14ac:dyDescent="0.35">
      <c r="A91" s="128"/>
      <c r="B91" s="329"/>
      <c r="C91" s="110"/>
      <c r="D91" s="110"/>
      <c r="E91" s="51"/>
    </row>
    <row r="92" spans="1:5" ht="16.2" thickBot="1" x14ac:dyDescent="0.35">
      <c r="A92" s="342" t="s">
        <v>257</v>
      </c>
      <c r="B92" s="310"/>
      <c r="C92" s="342" t="s">
        <v>330</v>
      </c>
      <c r="D92" s="342"/>
      <c r="E92" s="342"/>
    </row>
    <row r="93" spans="1:5" ht="16.2" thickBot="1" x14ac:dyDescent="0.35">
      <c r="A93" s="444">
        <f>MIN(-D30,B29)</f>
        <v>0</v>
      </c>
      <c r="B93" s="310"/>
      <c r="C93" s="679" t="s">
        <v>80</v>
      </c>
      <c r="D93" s="679"/>
      <c r="E93" s="679"/>
    </row>
    <row r="94" spans="1:5" ht="16.2" thickBot="1" x14ac:dyDescent="0.35">
      <c r="A94" s="128"/>
      <c r="B94" s="110"/>
      <c r="C94" s="110"/>
      <c r="D94" s="110"/>
      <c r="E94" s="51"/>
    </row>
    <row r="95" spans="1:5" ht="16.2" thickBot="1" x14ac:dyDescent="0.35">
      <c r="A95" s="342" t="s">
        <v>270</v>
      </c>
      <c r="B95" s="310"/>
      <c r="C95" s="342" t="s">
        <v>331</v>
      </c>
      <c r="D95" s="342"/>
      <c r="E95" s="342"/>
    </row>
    <row r="96" spans="1:5" ht="16.2" thickBot="1" x14ac:dyDescent="0.35">
      <c r="A96" s="444" t="s">
        <v>80</v>
      </c>
      <c r="B96" s="310"/>
      <c r="C96" s="679" t="s">
        <v>80</v>
      </c>
      <c r="D96" s="679"/>
      <c r="E96" s="679"/>
    </row>
    <row r="97" spans="1:5" ht="16.2" thickBot="1" x14ac:dyDescent="0.35">
      <c r="A97" s="128"/>
      <c r="B97" s="110"/>
      <c r="C97" s="110"/>
      <c r="D97" s="110"/>
      <c r="E97" s="51"/>
    </row>
    <row r="98" spans="1:5" ht="16.2" thickBot="1" x14ac:dyDescent="0.35">
      <c r="A98" s="342" t="s">
        <v>85</v>
      </c>
      <c r="B98" s="310"/>
      <c r="C98" s="342" t="s">
        <v>336</v>
      </c>
      <c r="D98" s="342"/>
      <c r="E98" s="342"/>
    </row>
    <row r="99" spans="1:5" ht="16.2" thickBot="1" x14ac:dyDescent="0.35">
      <c r="A99" s="444" t="s">
        <v>80</v>
      </c>
      <c r="B99" s="310"/>
      <c r="C99" s="679" t="s">
        <v>80</v>
      </c>
      <c r="D99" s="679"/>
      <c r="E99" s="679"/>
    </row>
    <row r="100" spans="1:5" ht="16.2" thickBot="1" x14ac:dyDescent="0.35">
      <c r="A100" s="147"/>
      <c r="B100" s="337"/>
      <c r="C100" s="148"/>
      <c r="D100" s="148"/>
      <c r="E100" s="150"/>
    </row>
    <row r="101" spans="1:5" ht="16.2" thickBot="1" x14ac:dyDescent="0.35">
      <c r="A101" s="25"/>
      <c r="B101" s="318"/>
      <c r="C101" s="25"/>
      <c r="D101" s="25"/>
      <c r="E101" s="25"/>
    </row>
    <row r="102" spans="1:5" ht="15.6" x14ac:dyDescent="0.3">
      <c r="A102" s="274" t="s">
        <v>436</v>
      </c>
      <c r="B102" s="111"/>
      <c r="C102" s="111"/>
      <c r="D102" s="111"/>
      <c r="E102" s="159"/>
    </row>
    <row r="103" spans="1:5" ht="16.2" thickBot="1" x14ac:dyDescent="0.35">
      <c r="A103" s="243" t="s">
        <v>65</v>
      </c>
      <c r="B103" s="318"/>
      <c r="C103" s="112"/>
      <c r="D103" s="112"/>
      <c r="E103" s="51"/>
    </row>
    <row r="104" spans="1:5" ht="16.2" thickBot="1" x14ac:dyDescent="0.35">
      <c r="A104" s="342" t="s">
        <v>64</v>
      </c>
      <c r="B104" s="318"/>
      <c r="C104" s="343" t="s">
        <v>66</v>
      </c>
      <c r="D104" s="344"/>
      <c r="E104" s="345"/>
    </row>
    <row r="105" spans="1:5" ht="16.2" thickBot="1" x14ac:dyDescent="0.35">
      <c r="A105" s="327">
        <f>COUNT(C69:C75)</f>
        <v>0</v>
      </c>
      <c r="B105" s="318"/>
      <c r="C105" s="678">
        <f>MAX(0,ROUNDDOWN(E77,0))</f>
        <v>0</v>
      </c>
      <c r="D105" s="678"/>
      <c r="E105" s="678"/>
    </row>
    <row r="106" spans="1:5" ht="16.2" thickBot="1" x14ac:dyDescent="0.35">
      <c r="A106" s="128"/>
      <c r="B106" s="320"/>
      <c r="C106" s="319"/>
      <c r="D106" s="320"/>
      <c r="E106" s="336"/>
    </row>
    <row r="107" spans="1:5" ht="16.2" thickBot="1" x14ac:dyDescent="0.35">
      <c r="A107" s="342" t="s">
        <v>67</v>
      </c>
      <c r="B107" s="318"/>
      <c r="C107" s="342" t="s">
        <v>68</v>
      </c>
      <c r="D107" s="342"/>
      <c r="E107" s="342"/>
    </row>
    <row r="108" spans="1:5" ht="16.2" thickBot="1" x14ac:dyDescent="0.35">
      <c r="A108" s="444">
        <f>ROUNDDOWN(D77,0)</f>
        <v>0</v>
      </c>
      <c r="B108" s="318"/>
      <c r="C108" s="679" t="s">
        <v>69</v>
      </c>
      <c r="D108" s="679"/>
      <c r="E108" s="679"/>
    </row>
    <row r="109" spans="1:5" ht="16.2" thickBot="1" x14ac:dyDescent="0.35">
      <c r="A109" s="128"/>
      <c r="B109" s="320"/>
      <c r="C109" s="319"/>
      <c r="D109" s="320"/>
      <c r="E109" s="336"/>
    </row>
    <row r="110" spans="1:5" ht="16.2" thickBot="1" x14ac:dyDescent="0.35">
      <c r="A110" s="342" t="s">
        <v>70</v>
      </c>
      <c r="B110" s="318"/>
      <c r="C110" s="342" t="s">
        <v>71</v>
      </c>
      <c r="D110" s="342"/>
      <c r="E110" s="342"/>
    </row>
    <row r="111" spans="1:5" ht="16.2" thickBot="1" x14ac:dyDescent="0.35">
      <c r="A111" s="444">
        <f>D77-E77</f>
        <v>0</v>
      </c>
      <c r="B111" s="318"/>
      <c r="C111" s="679" t="s">
        <v>69</v>
      </c>
      <c r="D111" s="679"/>
      <c r="E111" s="679"/>
    </row>
    <row r="112" spans="1:5" ht="16.2" thickBot="1" x14ac:dyDescent="0.35">
      <c r="A112" s="147"/>
      <c r="B112" s="148"/>
      <c r="C112" s="148"/>
      <c r="D112" s="148"/>
      <c r="E112" s="150"/>
    </row>
    <row r="113" spans="1:5" ht="15.6" x14ac:dyDescent="0.3">
      <c r="A113" s="25"/>
      <c r="B113" s="25"/>
      <c r="C113" s="25"/>
      <c r="D113" s="25"/>
      <c r="E113" s="25"/>
    </row>
    <row r="114" spans="1:5" ht="15.6" x14ac:dyDescent="0.3">
      <c r="A114" s="25"/>
      <c r="B114" s="25"/>
      <c r="C114" s="25"/>
      <c r="D114" s="25"/>
      <c r="E114" s="25"/>
    </row>
    <row r="115" spans="1:5" ht="15.6" x14ac:dyDescent="0.3">
      <c r="A115" s="25"/>
      <c r="B115" s="25"/>
      <c r="C115" s="25"/>
      <c r="D115" s="25"/>
      <c r="E115" s="25"/>
    </row>
    <row r="116" spans="1:5" ht="15.6" x14ac:dyDescent="0.3">
      <c r="A116" s="25"/>
      <c r="B116" s="25"/>
      <c r="C116" s="25"/>
      <c r="D116" s="25"/>
      <c r="E116" s="25"/>
    </row>
    <row r="117" spans="1:5" ht="15.6" x14ac:dyDescent="0.3">
      <c r="A117" s="25"/>
      <c r="B117" s="25"/>
      <c r="C117" s="25"/>
      <c r="D117" s="25"/>
      <c r="E117" s="25"/>
    </row>
    <row r="118" spans="1:5" ht="15.6" x14ac:dyDescent="0.3">
      <c r="A118" s="25"/>
      <c r="B118" s="25"/>
      <c r="C118" s="25"/>
      <c r="D118" s="25"/>
      <c r="E118" s="25"/>
    </row>
    <row r="119" spans="1:5" ht="15.6" x14ac:dyDescent="0.3">
      <c r="A119" s="25"/>
      <c r="B119" s="25"/>
      <c r="C119" s="25"/>
      <c r="D119" s="25"/>
      <c r="E119" s="25"/>
    </row>
    <row r="120" spans="1:5" ht="15.6" x14ac:dyDescent="0.3">
      <c r="A120" s="25"/>
      <c r="B120" s="25"/>
      <c r="C120" s="25"/>
      <c r="D120" s="25"/>
      <c r="E120" s="25"/>
    </row>
    <row r="121" spans="1:5" ht="15.6" x14ac:dyDescent="0.3">
      <c r="A121" s="25"/>
      <c r="B121" s="25"/>
      <c r="C121" s="25"/>
      <c r="D121" s="25"/>
      <c r="E121" s="25"/>
    </row>
    <row r="122" spans="1:5" ht="15.6" x14ac:dyDescent="0.3">
      <c r="A122" s="25"/>
      <c r="B122" s="25"/>
      <c r="C122" s="25"/>
      <c r="D122" s="25"/>
      <c r="E122" s="25"/>
    </row>
    <row r="123" spans="1:5" ht="15.6" x14ac:dyDescent="0.3">
      <c r="A123" s="25"/>
      <c r="B123" s="25"/>
      <c r="C123" s="25"/>
      <c r="D123" s="25"/>
      <c r="E123" s="25"/>
    </row>
    <row r="124" spans="1:5" ht="15.6" x14ac:dyDescent="0.3">
      <c r="A124" s="25"/>
      <c r="B124" s="25"/>
      <c r="C124" s="25"/>
      <c r="D124" s="25"/>
      <c r="E124" s="25"/>
    </row>
    <row r="125" spans="1:5" ht="15.6" x14ac:dyDescent="0.3">
      <c r="A125" s="25"/>
      <c r="B125" s="25"/>
      <c r="C125" s="25"/>
      <c r="D125" s="25"/>
      <c r="E125" s="25"/>
    </row>
    <row r="126" spans="1:5" ht="15.6" x14ac:dyDescent="0.3">
      <c r="A126" s="25"/>
      <c r="B126" s="25"/>
      <c r="C126" s="25"/>
      <c r="D126" s="25"/>
      <c r="E126" s="25"/>
    </row>
    <row r="127" spans="1:5" ht="15.6" x14ac:dyDescent="0.3">
      <c r="A127" s="25"/>
      <c r="B127" s="25"/>
      <c r="C127" s="25"/>
      <c r="D127" s="25"/>
      <c r="E127" s="25"/>
    </row>
    <row r="128" spans="1:5" ht="15.6" x14ac:dyDescent="0.3">
      <c r="A128" s="25"/>
      <c r="B128" s="25"/>
      <c r="C128" s="25"/>
      <c r="D128" s="25"/>
      <c r="E128" s="25"/>
    </row>
    <row r="129" spans="1:5" ht="15.6" x14ac:dyDescent="0.3">
      <c r="A129" s="25"/>
      <c r="B129" s="25"/>
      <c r="C129" s="25"/>
      <c r="D129" s="25"/>
      <c r="E129" s="25"/>
    </row>
    <row r="130" spans="1:5" ht="15.6" x14ac:dyDescent="0.3">
      <c r="A130" s="25"/>
      <c r="B130" s="25"/>
      <c r="C130" s="25"/>
      <c r="D130" s="25"/>
      <c r="E130" s="25"/>
    </row>
    <row r="131" spans="1:5" ht="15.6" x14ac:dyDescent="0.3">
      <c r="A131" s="25"/>
      <c r="B131" s="25"/>
      <c r="C131" s="25"/>
      <c r="D131" s="25"/>
      <c r="E131" s="25"/>
    </row>
    <row r="132" spans="1:5" ht="15.6" x14ac:dyDescent="0.3">
      <c r="A132" s="25"/>
      <c r="B132" s="25"/>
      <c r="C132" s="25"/>
      <c r="D132" s="25"/>
      <c r="E132" s="25"/>
    </row>
    <row r="133" spans="1:5" ht="15.6" x14ac:dyDescent="0.3">
      <c r="A133" s="25"/>
      <c r="B133" s="25"/>
      <c r="C133" s="25"/>
      <c r="D133" s="25"/>
      <c r="E133" s="25"/>
    </row>
    <row r="134" spans="1:5" ht="15.6" x14ac:dyDescent="0.3">
      <c r="A134" s="25"/>
      <c r="B134" s="25"/>
      <c r="C134" s="25"/>
      <c r="D134" s="25"/>
      <c r="E134" s="25"/>
    </row>
    <row r="135" spans="1:5" ht="15.6" x14ac:dyDescent="0.3">
      <c r="A135" s="25"/>
      <c r="B135" s="25"/>
      <c r="C135" s="25"/>
      <c r="D135" s="25"/>
      <c r="E135" s="25"/>
    </row>
    <row r="136" spans="1:5" ht="15.6" x14ac:dyDescent="0.3">
      <c r="A136" s="25"/>
      <c r="B136" s="25"/>
      <c r="C136" s="25"/>
      <c r="D136" s="25"/>
      <c r="E136" s="25"/>
    </row>
    <row r="137" spans="1:5" ht="15.6" x14ac:dyDescent="0.3">
      <c r="A137" s="25"/>
      <c r="B137" s="25"/>
      <c r="C137" s="25"/>
      <c r="D137" s="25"/>
      <c r="E137" s="25"/>
    </row>
    <row r="138" spans="1:5" ht="15.6" x14ac:dyDescent="0.3">
      <c r="A138" s="25"/>
      <c r="B138" s="25"/>
      <c r="C138" s="25"/>
      <c r="D138" s="25"/>
      <c r="E138" s="25"/>
    </row>
    <row r="139" spans="1:5" ht="15.6" x14ac:dyDescent="0.3">
      <c r="A139" s="25"/>
      <c r="B139" s="25"/>
      <c r="C139" s="25"/>
      <c r="D139" s="25"/>
      <c r="E139" s="25"/>
    </row>
    <row r="140" spans="1:5" ht="15.6" x14ac:dyDescent="0.3">
      <c r="A140" s="25"/>
      <c r="B140" s="25"/>
      <c r="C140" s="25"/>
      <c r="D140" s="25"/>
      <c r="E140" s="25"/>
    </row>
    <row r="141" spans="1:5" ht="15.6" x14ac:dyDescent="0.3">
      <c r="A141" s="25"/>
      <c r="B141" s="25"/>
      <c r="C141" s="25"/>
      <c r="D141" s="25"/>
      <c r="E141" s="25"/>
    </row>
    <row r="142" spans="1:5" ht="15.6" x14ac:dyDescent="0.3">
      <c r="A142" s="25"/>
      <c r="B142" s="25"/>
      <c r="C142" s="25"/>
      <c r="D142" s="25"/>
      <c r="E142" s="25"/>
    </row>
    <row r="143" spans="1:5" ht="15.6" x14ac:dyDescent="0.3">
      <c r="A143" s="25"/>
      <c r="B143" s="25"/>
      <c r="C143" s="25"/>
      <c r="D143" s="25"/>
      <c r="E143" s="25"/>
    </row>
    <row r="144" spans="1:5" ht="15.6" x14ac:dyDescent="0.3">
      <c r="A144" s="25"/>
      <c r="B144" s="25"/>
      <c r="C144" s="25"/>
      <c r="D144" s="25"/>
      <c r="E144" s="25"/>
    </row>
    <row r="145" spans="1:5" ht="15.6" x14ac:dyDescent="0.3">
      <c r="A145" s="25"/>
      <c r="B145" s="25"/>
      <c r="C145" s="25"/>
      <c r="D145" s="25"/>
      <c r="E145" s="25"/>
    </row>
  </sheetData>
  <mergeCells count="25">
    <mergeCell ref="B19:E19"/>
    <mergeCell ref="B20:E20"/>
    <mergeCell ref="B21:E21"/>
    <mergeCell ref="B62:D62"/>
    <mergeCell ref="A38:E38"/>
    <mergeCell ref="A40:E40"/>
    <mergeCell ref="B53:D53"/>
    <mergeCell ref="B54:D54"/>
    <mergeCell ref="B55:D55"/>
    <mergeCell ref="B56:D56"/>
    <mergeCell ref="B57:D57"/>
    <mergeCell ref="B58:D58"/>
    <mergeCell ref="B59:D59"/>
    <mergeCell ref="B60:D60"/>
    <mergeCell ref="B61:D61"/>
    <mergeCell ref="C44:E49"/>
    <mergeCell ref="C105:E105"/>
    <mergeCell ref="C108:E108"/>
    <mergeCell ref="C111:E111"/>
    <mergeCell ref="C84:E84"/>
    <mergeCell ref="C87:E87"/>
    <mergeCell ref="C90:E90"/>
    <mergeCell ref="C93:E93"/>
    <mergeCell ref="C96:E96"/>
    <mergeCell ref="C99:E99"/>
  </mergeCells>
  <dataValidations count="1">
    <dataValidation allowBlank="1" showInputMessage="1" showErrorMessage="1" promptTitle="Enter as negative number" sqref="D30:D32" xr:uid="{00000000-0002-0000-0500-000000000000}"/>
  </dataValidations>
  <pageMargins left="0.70866141732283472" right="0.70866141732283472" top="0.74803149606299213" bottom="0.74803149606299213" header="0.31496062992125984" footer="0.31496062992125984"/>
  <pageSetup paperSize="9" scale="64"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50"/>
  <sheetViews>
    <sheetView workbookViewId="0"/>
  </sheetViews>
  <sheetFormatPr defaultRowHeight="13.2" x14ac:dyDescent="0.25"/>
  <cols>
    <col min="1" max="1" width="62.6640625" customWidth="1"/>
    <col min="2" max="2" width="20.109375" customWidth="1"/>
    <col min="3" max="3" width="23.88671875" customWidth="1"/>
    <col min="4" max="4" width="22" customWidth="1"/>
    <col min="5" max="5" width="77.44140625" customWidth="1"/>
    <col min="8" max="8" width="0" hidden="1" customWidth="1"/>
  </cols>
  <sheetData>
    <row r="1" spans="1:8" ht="21" x14ac:dyDescent="0.4">
      <c r="A1" s="101" t="s">
        <v>376</v>
      </c>
      <c r="B1" s="25"/>
      <c r="C1" s="25"/>
      <c r="D1" s="25"/>
      <c r="E1" s="25"/>
    </row>
    <row r="2" spans="1:8" ht="16.2" thickBot="1" x14ac:dyDescent="0.35">
      <c r="A2" s="21"/>
      <c r="B2" s="25"/>
      <c r="C2" s="25"/>
      <c r="D2" s="25"/>
      <c r="E2" s="25"/>
    </row>
    <row r="3" spans="1:8" ht="15.6" x14ac:dyDescent="0.3">
      <c r="A3" s="197" t="s">
        <v>114</v>
      </c>
      <c r="B3" s="202"/>
      <c r="C3" s="202"/>
      <c r="D3" s="202"/>
      <c r="E3" s="203"/>
    </row>
    <row r="4" spans="1:8" ht="15.6" x14ac:dyDescent="0.3">
      <c r="A4" s="223" t="s">
        <v>231</v>
      </c>
      <c r="B4" s="238"/>
      <c r="C4" s="238"/>
      <c r="D4" s="238"/>
      <c r="E4" s="220"/>
    </row>
    <row r="5" spans="1:8" ht="21.6" thickBot="1" x14ac:dyDescent="0.45">
      <c r="A5" s="338" t="s">
        <v>362</v>
      </c>
      <c r="B5" s="226"/>
      <c r="C5" s="339"/>
      <c r="D5" s="226"/>
      <c r="E5" s="227"/>
    </row>
    <row r="6" spans="1:8" ht="16.2" thickBot="1" x14ac:dyDescent="0.35">
      <c r="A6" s="21"/>
      <c r="B6" s="25"/>
      <c r="C6" s="25"/>
      <c r="D6" s="25"/>
      <c r="E6" s="25"/>
    </row>
    <row r="7" spans="1:8" ht="15.6" x14ac:dyDescent="0.3">
      <c r="A7" s="274" t="s">
        <v>363</v>
      </c>
      <c r="B7" s="111"/>
      <c r="C7" s="111"/>
      <c r="D7" s="111"/>
      <c r="E7" s="159"/>
    </row>
    <row r="8" spans="1:8" ht="15.6" x14ac:dyDescent="0.3">
      <c r="A8" s="243"/>
      <c r="B8" s="112"/>
      <c r="C8" s="112"/>
      <c r="D8" s="112"/>
      <c r="E8" s="129"/>
    </row>
    <row r="9" spans="1:8" ht="15.6" x14ac:dyDescent="0.3">
      <c r="A9" s="275" t="s">
        <v>389</v>
      </c>
      <c r="B9" s="288" t="s">
        <v>383</v>
      </c>
      <c r="C9" s="288" t="s">
        <v>382</v>
      </c>
      <c r="D9" s="288" t="s">
        <v>37</v>
      </c>
      <c r="E9" s="417" t="s">
        <v>38</v>
      </c>
    </row>
    <row r="10" spans="1:8" ht="62.4" x14ac:dyDescent="0.3">
      <c r="A10" s="289" t="s">
        <v>424</v>
      </c>
      <c r="B10" s="290"/>
      <c r="C10" s="290"/>
      <c r="D10" s="290"/>
      <c r="E10" s="453" t="s">
        <v>425</v>
      </c>
      <c r="H10" t="s">
        <v>384</v>
      </c>
    </row>
    <row r="11" spans="1:8" ht="62.4" x14ac:dyDescent="0.3">
      <c r="A11" s="289" t="s">
        <v>437</v>
      </c>
      <c r="B11" s="290"/>
      <c r="C11" s="290"/>
      <c r="D11" s="290"/>
      <c r="E11" s="453" t="s">
        <v>426</v>
      </c>
      <c r="H11" t="s">
        <v>385</v>
      </c>
    </row>
    <row r="12" spans="1:8" ht="15.6" x14ac:dyDescent="0.3">
      <c r="A12" s="114"/>
      <c r="B12" s="292"/>
      <c r="C12" s="244"/>
      <c r="D12" s="244"/>
      <c r="E12" s="418"/>
      <c r="H12" t="s">
        <v>386</v>
      </c>
    </row>
    <row r="13" spans="1:8" ht="15.6" x14ac:dyDescent="0.3">
      <c r="A13" s="275" t="s">
        <v>320</v>
      </c>
      <c r="B13" s="288" t="s">
        <v>278</v>
      </c>
      <c r="C13" s="288"/>
      <c r="D13" s="288" t="s">
        <v>38</v>
      </c>
      <c r="E13" s="129"/>
      <c r="H13" s="419" t="s">
        <v>387</v>
      </c>
    </row>
    <row r="14" spans="1:8" ht="31.2" x14ac:dyDescent="0.3">
      <c r="A14" s="289" t="s">
        <v>388</v>
      </c>
      <c r="B14" s="292">
        <f>SUM('Ipex &amp; PACG Redeemable shares'!E23)</f>
        <v>0</v>
      </c>
      <c r="C14" s="244"/>
      <c r="D14" s="244">
        <f>'Ipex &amp; PACG Redeemable shares'!C32</f>
        <v>0</v>
      </c>
      <c r="E14" s="291" t="s">
        <v>377</v>
      </c>
      <c r="H14" s="419"/>
    </row>
    <row r="15" spans="1:8" ht="15.6" x14ac:dyDescent="0.3">
      <c r="A15" s="128"/>
      <c r="B15" s="112"/>
      <c r="C15" s="112"/>
      <c r="D15" s="112"/>
      <c r="E15" s="129"/>
    </row>
    <row r="16" spans="1:8" ht="15.6" x14ac:dyDescent="0.3">
      <c r="A16" s="275" t="s">
        <v>91</v>
      </c>
      <c r="B16" s="288" t="s">
        <v>104</v>
      </c>
      <c r="C16" s="112"/>
      <c r="D16" s="112"/>
      <c r="E16" s="129"/>
    </row>
    <row r="17" spans="1:5" ht="15.6" x14ac:dyDescent="0.3">
      <c r="A17" s="128" t="s">
        <v>102</v>
      </c>
      <c r="B17" s="244">
        <f>SUM('s104 holdings'!O109:O122)</f>
        <v>0</v>
      </c>
      <c r="C17" s="112"/>
      <c r="D17" s="112"/>
      <c r="E17" s="129"/>
    </row>
    <row r="18" spans="1:5" ht="15.6" x14ac:dyDescent="0.3">
      <c r="A18" s="128" t="str">
        <f>IF(C10&gt;0,"From PA Option exercise of "&amp;C10&amp;" shares","")</f>
        <v/>
      </c>
      <c r="B18" s="244"/>
      <c r="C18" s="112"/>
      <c r="D18" s="112"/>
      <c r="E18" s="129"/>
    </row>
    <row r="19" spans="1:5" ht="15.6" x14ac:dyDescent="0.3">
      <c r="A19" s="128" t="str">
        <f>IF(C11&gt;0,"From PA Option exercise of "&amp;C11&amp;" shares","")</f>
        <v/>
      </c>
      <c r="B19" s="244"/>
      <c r="C19" s="112"/>
      <c r="D19" s="112"/>
      <c r="E19" s="129"/>
    </row>
    <row r="20" spans="1:5" ht="15.6" x14ac:dyDescent="0.3">
      <c r="A20" s="128" t="str">
        <f>IF(B14&gt;0,"From redemption of "&amp;B14&amp;" PACG2 redeemable shares","")</f>
        <v/>
      </c>
      <c r="B20" s="244">
        <f>'Ipex &amp; PACG Redeemable shares'!B32</f>
        <v>0</v>
      </c>
      <c r="C20" s="112"/>
      <c r="D20" s="112"/>
      <c r="E20" s="129"/>
    </row>
    <row r="21" spans="1:5" ht="15.6" x14ac:dyDescent="0.3">
      <c r="A21" s="128" t="s">
        <v>103</v>
      </c>
      <c r="B21" s="294"/>
      <c r="C21" s="112"/>
      <c r="D21" s="112"/>
      <c r="E21" s="129"/>
    </row>
    <row r="22" spans="1:5" ht="15.6" x14ac:dyDescent="0.3">
      <c r="A22" s="243" t="s">
        <v>41</v>
      </c>
      <c r="B22" s="295">
        <f>SUM(B17:B21)</f>
        <v>0</v>
      </c>
      <c r="C22" s="112"/>
      <c r="D22" s="112"/>
      <c r="E22" s="129"/>
    </row>
    <row r="23" spans="1:5" ht="15.6" x14ac:dyDescent="0.3">
      <c r="A23" s="128" t="s">
        <v>378</v>
      </c>
      <c r="B23" s="340" t="str">
        <f>IF(B22&gt;44000,"Yes, you are required to report your disposal on your tax return","No, only required to report if taxable gains more than £11,000 or elections to be made")</f>
        <v>No, only required to report if taxable gains more than £11,000 or elections to be made</v>
      </c>
      <c r="C23" s="112"/>
      <c r="D23" s="112"/>
      <c r="E23" s="129"/>
    </row>
    <row r="24" spans="1:5" ht="15.6" x14ac:dyDescent="0.3">
      <c r="A24" s="128"/>
      <c r="B24" s="112"/>
      <c r="C24" s="112"/>
      <c r="D24" s="112"/>
      <c r="E24" s="129"/>
    </row>
    <row r="25" spans="1:5" ht="15.6" x14ac:dyDescent="0.3">
      <c r="A25" s="128"/>
      <c r="B25" s="112"/>
      <c r="C25" s="112"/>
      <c r="D25" s="112"/>
      <c r="E25" s="129"/>
    </row>
    <row r="26" spans="1:5" ht="15.6" x14ac:dyDescent="0.3">
      <c r="A26" s="275" t="s">
        <v>418</v>
      </c>
      <c r="B26" s="288" t="s">
        <v>419</v>
      </c>
      <c r="C26" s="112"/>
      <c r="D26" s="112"/>
      <c r="E26" s="129"/>
    </row>
    <row r="27" spans="1:5" ht="15.6" x14ac:dyDescent="0.3">
      <c r="A27" s="128" t="str">
        <f>A17</f>
        <v>From PA share sales per s104 Holdings sheet</v>
      </c>
      <c r="B27" s="244">
        <f>SUM('s104 holdings'!P109:P122)</f>
        <v>0</v>
      </c>
      <c r="C27" s="112"/>
      <c r="D27" s="112"/>
      <c r="E27" s="129"/>
    </row>
    <row r="28" spans="1:5" ht="15.6" x14ac:dyDescent="0.3">
      <c r="A28" s="128" t="str">
        <f>IF(A18&lt;&gt;"","Gain on above PA share option exercise","")</f>
        <v/>
      </c>
      <c r="B28" s="244" t="str">
        <f>IF(D10&gt;0,D10,"")</f>
        <v/>
      </c>
      <c r="C28" s="112"/>
      <c r="D28" s="112"/>
      <c r="E28" s="129"/>
    </row>
    <row r="29" spans="1:5" ht="15.6" x14ac:dyDescent="0.3">
      <c r="A29" s="128" t="str">
        <f>IF(A19&lt;&gt;"","Gain on above PA share option exercise","")</f>
        <v/>
      </c>
      <c r="B29" s="244" t="str">
        <f>IF(D11&gt;0,D11,"")</f>
        <v/>
      </c>
      <c r="C29" s="112"/>
      <c r="D29" s="112"/>
      <c r="E29" s="129"/>
    </row>
    <row r="30" spans="1:5" ht="15.6" x14ac:dyDescent="0.3">
      <c r="A30" s="128" t="str">
        <f>IF(A20&lt;&gt;"","Gain on above PACG2 share redemption","")</f>
        <v/>
      </c>
      <c r="B30" s="244" t="str">
        <f>IF(D14&gt;0,D14,"")</f>
        <v/>
      </c>
      <c r="C30" s="112"/>
      <c r="D30" s="112"/>
      <c r="E30" s="129"/>
    </row>
    <row r="31" spans="1:5" ht="16.2" thickBot="1" x14ac:dyDescent="0.35">
      <c r="A31" s="128" t="str">
        <f>A21</f>
        <v>Any non-PA chargeable sales you made</v>
      </c>
      <c r="B31" s="294"/>
      <c r="C31" s="112"/>
      <c r="D31" s="112"/>
      <c r="E31" s="129"/>
    </row>
    <row r="32" spans="1:5" ht="15.6" x14ac:dyDescent="0.3">
      <c r="A32" s="243" t="s">
        <v>417</v>
      </c>
      <c r="B32" s="295">
        <f>SUM(B27:B31)</f>
        <v>0</v>
      </c>
      <c r="C32" s="112"/>
      <c r="D32" s="242" t="s">
        <v>413</v>
      </c>
      <c r="E32" s="159"/>
    </row>
    <row r="33" spans="1:5" ht="15.6" x14ac:dyDescent="0.3">
      <c r="A33" s="128"/>
      <c r="B33" s="296"/>
      <c r="C33" s="296"/>
      <c r="D33" s="458">
        <f>'1314 TR pages'!D32</f>
        <v>0</v>
      </c>
      <c r="E33" s="432" t="s">
        <v>414</v>
      </c>
    </row>
    <row r="34" spans="1:5" ht="15.6" x14ac:dyDescent="0.3">
      <c r="A34" s="128" t="s">
        <v>412</v>
      </c>
      <c r="B34" s="440">
        <f>-D34</f>
        <v>0</v>
      </c>
      <c r="C34" s="112"/>
      <c r="D34" s="434">
        <f>IF(D38&gt;0,MIN(-D33,D38),0)</f>
        <v>0</v>
      </c>
      <c r="E34" s="437" t="s">
        <v>415</v>
      </c>
    </row>
    <row r="35" spans="1:5" ht="16.2" thickBot="1" x14ac:dyDescent="0.35">
      <c r="A35" s="128" t="s">
        <v>45</v>
      </c>
      <c r="B35" s="435">
        <v>-11000</v>
      </c>
      <c r="C35" s="112"/>
      <c r="D35" s="436">
        <f>SUM(D33:D34)</f>
        <v>0</v>
      </c>
      <c r="E35" s="438" t="s">
        <v>416</v>
      </c>
    </row>
    <row r="36" spans="1:5" ht="15.6" x14ac:dyDescent="0.3">
      <c r="A36" s="243" t="s">
        <v>46</v>
      </c>
      <c r="B36" s="295">
        <f>MAX(0,SUM(B32:B35))</f>
        <v>0</v>
      </c>
      <c r="C36" s="112"/>
    </row>
    <row r="37" spans="1:5" ht="15.6" x14ac:dyDescent="0.3">
      <c r="A37" s="128" t="s">
        <v>379</v>
      </c>
      <c r="B37" s="340" t="str">
        <f>IF(B36&gt;0,"Yes, you must report your gains on your tax return","No, you only need report gains where total disposal proceeds are greater than 4 x £11,000 exemption or elections being made")</f>
        <v>No, you only need report gains where total disposal proceeds are greater than 4 x £11,000 exemption or elections being made</v>
      </c>
      <c r="C37" s="112"/>
      <c r="D37" s="112"/>
      <c r="E37" s="129"/>
    </row>
    <row r="38" spans="1:5" ht="15.6" x14ac:dyDescent="0.3">
      <c r="A38" s="298" t="str">
        <f>IF(B36&gt;0,"Tax @28% due by 31 January 2016 on your gains:","")</f>
        <v/>
      </c>
      <c r="B38" s="299" t="str">
        <f>IF(A38="","",ROUND(B36*28%,2))</f>
        <v/>
      </c>
      <c r="C38" s="112"/>
      <c r="D38" s="439">
        <f>SUM(B35,B32)</f>
        <v>-11000</v>
      </c>
      <c r="E38" s="129"/>
    </row>
    <row r="39" spans="1:5" ht="16.2" thickBot="1" x14ac:dyDescent="0.35">
      <c r="A39" s="300"/>
      <c r="B39" s="148"/>
      <c r="C39" s="148"/>
      <c r="D39" s="148"/>
      <c r="E39" s="150"/>
    </row>
    <row r="40" spans="1:5" ht="16.2" thickBot="1" x14ac:dyDescent="0.35">
      <c r="A40" s="25"/>
      <c r="B40" s="25"/>
      <c r="C40" s="25"/>
      <c r="D40" s="25"/>
      <c r="E40" s="25"/>
    </row>
    <row r="41" spans="1:5" ht="18.600000000000001" thickBot="1" x14ac:dyDescent="0.4">
      <c r="A41" s="685" t="s">
        <v>390</v>
      </c>
      <c r="B41" s="686"/>
      <c r="C41" s="686"/>
      <c r="D41" s="686"/>
      <c r="E41" s="687"/>
    </row>
    <row r="42" spans="1:5" ht="15.6" x14ac:dyDescent="0.3">
      <c r="A42" s="25"/>
      <c r="B42" s="25"/>
      <c r="C42" s="25"/>
      <c r="D42" s="25"/>
      <c r="E42" s="25"/>
    </row>
    <row r="43" spans="1:5" ht="35.25" customHeight="1" x14ac:dyDescent="0.25">
      <c r="A43" s="688" t="s">
        <v>391</v>
      </c>
      <c r="B43" s="688"/>
      <c r="C43" s="688"/>
      <c r="D43" s="688"/>
      <c r="E43" s="688"/>
    </row>
    <row r="44" spans="1:5" ht="17.25" customHeight="1" thickBot="1" x14ac:dyDescent="0.3">
      <c r="A44" s="429"/>
      <c r="B44" s="429"/>
      <c r="C44" s="429"/>
      <c r="D44" s="429"/>
      <c r="E44" s="429"/>
    </row>
    <row r="45" spans="1:5" ht="15.6" x14ac:dyDescent="0.3">
      <c r="A45" s="274" t="s">
        <v>404</v>
      </c>
      <c r="B45" s="322"/>
      <c r="C45" s="323"/>
      <c r="D45" s="324"/>
      <c r="E45" s="325"/>
    </row>
    <row r="46" spans="1:5" ht="16.2" thickBot="1" x14ac:dyDescent="0.35">
      <c r="A46" s="298" t="s">
        <v>393</v>
      </c>
      <c r="B46" s="318"/>
      <c r="C46" s="319"/>
      <c r="D46" s="320"/>
      <c r="E46" s="326"/>
    </row>
    <row r="47" spans="1:5" ht="16.2" thickBot="1" x14ac:dyDescent="0.35">
      <c r="A47" s="342" t="s">
        <v>337</v>
      </c>
      <c r="B47" s="327">
        <f>COUNT(C72:C81)</f>
        <v>0</v>
      </c>
      <c r="C47" s="319"/>
      <c r="D47" s="320"/>
      <c r="E47" s="326"/>
    </row>
    <row r="48" spans="1:5" ht="16.2" thickBot="1" x14ac:dyDescent="0.35">
      <c r="A48" s="342" t="s">
        <v>91</v>
      </c>
      <c r="B48" s="424">
        <f>ROUNDDOWN(D82,0)</f>
        <v>0</v>
      </c>
      <c r="C48" s="319"/>
      <c r="D48" s="320"/>
      <c r="E48" s="326"/>
    </row>
    <row r="49" spans="1:6" ht="16.2" thickBot="1" x14ac:dyDescent="0.35">
      <c r="A49" s="342" t="s">
        <v>338</v>
      </c>
      <c r="B49" s="424">
        <f>D82-E82</f>
        <v>0</v>
      </c>
      <c r="C49" s="311"/>
      <c r="D49" s="320"/>
      <c r="E49" s="326"/>
    </row>
    <row r="50" spans="1:6" ht="16.2" thickBot="1" x14ac:dyDescent="0.35">
      <c r="A50" s="342" t="s">
        <v>340</v>
      </c>
      <c r="B50" s="424">
        <f>ROUNDDOWN(E82,0)</f>
        <v>0</v>
      </c>
      <c r="C50" s="110"/>
      <c r="D50" s="329"/>
      <c r="E50" s="326"/>
    </row>
    <row r="51" spans="1:6" ht="16.2" thickBot="1" x14ac:dyDescent="0.35">
      <c r="A51" s="342" t="s">
        <v>341</v>
      </c>
      <c r="B51" s="424" t="s">
        <v>69</v>
      </c>
      <c r="C51" s="110"/>
      <c r="D51" s="329"/>
      <c r="E51" s="326"/>
    </row>
    <row r="52" spans="1:6" ht="16.2" thickBot="1" x14ac:dyDescent="0.35">
      <c r="A52" s="342" t="s">
        <v>342</v>
      </c>
      <c r="B52" s="424" t="s">
        <v>69</v>
      </c>
      <c r="C52" s="331"/>
      <c r="D52" s="331"/>
      <c r="E52" s="425"/>
    </row>
    <row r="53" spans="1:6" ht="16.2" thickBot="1" x14ac:dyDescent="0.35">
      <c r="A53" s="112"/>
      <c r="B53" s="318"/>
      <c r="C53" s="319"/>
      <c r="D53" s="320"/>
      <c r="E53" s="321"/>
    </row>
    <row r="54" spans="1:6" ht="15.6" x14ac:dyDescent="0.3">
      <c r="A54" s="274" t="s">
        <v>433</v>
      </c>
      <c r="B54" s="322"/>
      <c r="C54" s="323"/>
      <c r="D54" s="324"/>
      <c r="E54" s="325"/>
      <c r="F54" s="3"/>
    </row>
    <row r="55" spans="1:6" ht="16.2" thickBot="1" x14ac:dyDescent="0.35">
      <c r="A55" s="298" t="s">
        <v>393</v>
      </c>
      <c r="B55" s="318"/>
      <c r="C55" s="319"/>
      <c r="D55" s="320"/>
      <c r="E55" s="326"/>
      <c r="F55" s="3"/>
    </row>
    <row r="56" spans="1:6" ht="16.2" thickBot="1" x14ac:dyDescent="0.35">
      <c r="A56" s="342" t="s">
        <v>397</v>
      </c>
      <c r="B56" s="689" t="s">
        <v>400</v>
      </c>
      <c r="C56" s="690"/>
      <c r="D56" s="691"/>
      <c r="E56" s="326"/>
      <c r="F56" s="3"/>
    </row>
    <row r="57" spans="1:6" ht="16.2" thickBot="1" x14ac:dyDescent="0.35">
      <c r="A57" s="342" t="s">
        <v>401</v>
      </c>
      <c r="B57" s="689" t="s">
        <v>80</v>
      </c>
      <c r="C57" s="690"/>
      <c r="D57" s="691"/>
      <c r="E57" s="326"/>
      <c r="F57" s="3"/>
    </row>
    <row r="58" spans="1:6" ht="16.2" thickBot="1" x14ac:dyDescent="0.35">
      <c r="A58" s="342" t="s">
        <v>398</v>
      </c>
      <c r="B58" s="692" t="s">
        <v>80</v>
      </c>
      <c r="C58" s="693"/>
      <c r="D58" s="694"/>
      <c r="E58" s="326"/>
      <c r="F58" s="3"/>
    </row>
    <row r="59" spans="1:6" ht="16.2" thickBot="1" x14ac:dyDescent="0.35">
      <c r="A59" s="343" t="s">
        <v>399</v>
      </c>
      <c r="B59" s="695" t="str">
        <f>E78</f>
        <v/>
      </c>
      <c r="C59" s="696"/>
      <c r="D59" s="697"/>
      <c r="E59" s="326"/>
      <c r="F59" s="3"/>
    </row>
    <row r="60" spans="1:6" s="426" customFormat="1" ht="81" customHeight="1" thickBot="1" x14ac:dyDescent="0.3">
      <c r="A60" s="428" t="s">
        <v>403</v>
      </c>
      <c r="B60" s="698" t="s">
        <v>402</v>
      </c>
      <c r="C60" s="699"/>
      <c r="D60" s="700"/>
      <c r="E60" s="326"/>
      <c r="F60" s="3"/>
    </row>
    <row r="61" spans="1:6" ht="16.2" thickBot="1" x14ac:dyDescent="0.35">
      <c r="A61" s="428" t="s">
        <v>405</v>
      </c>
      <c r="B61" s="695">
        <f>B33</f>
        <v>0</v>
      </c>
      <c r="C61" s="696"/>
      <c r="D61" s="697"/>
      <c r="E61" s="326"/>
      <c r="F61" s="3"/>
    </row>
    <row r="62" spans="1:6" ht="16.2" thickBot="1" x14ac:dyDescent="0.3">
      <c r="A62" s="428" t="s">
        <v>406</v>
      </c>
      <c r="B62" s="698" t="s">
        <v>80</v>
      </c>
      <c r="C62" s="699"/>
      <c r="D62" s="700"/>
      <c r="E62" s="326"/>
      <c r="F62" s="3"/>
    </row>
    <row r="63" spans="1:6" ht="31.8" thickBot="1" x14ac:dyDescent="0.3">
      <c r="A63" s="428" t="s">
        <v>407</v>
      </c>
      <c r="B63" s="698" t="s">
        <v>80</v>
      </c>
      <c r="C63" s="699"/>
      <c r="D63" s="700"/>
      <c r="E63" s="326"/>
      <c r="F63" s="3"/>
    </row>
    <row r="64" spans="1:6" ht="31.8" thickBot="1" x14ac:dyDescent="0.3">
      <c r="A64" s="428" t="s">
        <v>408</v>
      </c>
      <c r="B64" s="698" t="s">
        <v>80</v>
      </c>
      <c r="C64" s="699"/>
      <c r="D64" s="700"/>
      <c r="E64" s="326"/>
      <c r="F64" s="3"/>
    </row>
    <row r="65" spans="1:6" s="426" customFormat="1" ht="81" customHeight="1" thickBot="1" x14ac:dyDescent="0.3">
      <c r="A65" s="428" t="s">
        <v>409</v>
      </c>
      <c r="B65" s="682" t="e">
        <f>IF((B27+B28+B29+B31-B30-B33+B35)&lt;0,(B27+B28+B29+B31-B33),0)</f>
        <v>#VALUE!</v>
      </c>
      <c r="C65" s="683"/>
      <c r="D65" s="684"/>
      <c r="E65" s="425" t="s">
        <v>402</v>
      </c>
      <c r="F65" s="3"/>
    </row>
    <row r="66" spans="1:6" ht="16.2" thickBot="1" x14ac:dyDescent="0.35">
      <c r="A66" s="427"/>
      <c r="B66" s="355"/>
      <c r="C66" s="330"/>
      <c r="D66" s="330"/>
      <c r="E66" s="336"/>
      <c r="F66" s="3"/>
    </row>
    <row r="67" spans="1:6" ht="15.6" x14ac:dyDescent="0.3">
      <c r="A67" s="274" t="s">
        <v>261</v>
      </c>
      <c r="B67" s="301"/>
      <c r="C67" s="301"/>
      <c r="D67" s="301"/>
      <c r="E67" s="302"/>
    </row>
    <row r="68" spans="1:6" ht="15.6" x14ac:dyDescent="0.3">
      <c r="A68" s="303" t="s">
        <v>267</v>
      </c>
      <c r="B68" s="110"/>
      <c r="C68" s="110"/>
      <c r="D68" s="110"/>
      <c r="E68" s="51"/>
    </row>
    <row r="69" spans="1:6" ht="15.6" x14ac:dyDescent="0.3">
      <c r="A69" s="303" t="s">
        <v>263</v>
      </c>
      <c r="B69" s="110"/>
      <c r="C69" s="110"/>
      <c r="D69" s="110"/>
      <c r="E69" s="51"/>
    </row>
    <row r="70" spans="1:6" ht="15.6" x14ac:dyDescent="0.3">
      <c r="A70" s="46"/>
      <c r="B70" s="110"/>
      <c r="C70" s="110"/>
      <c r="D70" s="110"/>
      <c r="E70" s="51"/>
    </row>
    <row r="71" spans="1:6" ht="15.6" x14ac:dyDescent="0.3">
      <c r="A71" s="304" t="s">
        <v>245</v>
      </c>
      <c r="B71" s="305" t="s">
        <v>53</v>
      </c>
      <c r="C71" s="306" t="s">
        <v>55</v>
      </c>
      <c r="D71" s="306" t="s">
        <v>54</v>
      </c>
      <c r="E71" s="307" t="s">
        <v>56</v>
      </c>
      <c r="F71" t="s">
        <v>244</v>
      </c>
    </row>
    <row r="72" spans="1:6" ht="15.6" x14ac:dyDescent="0.3">
      <c r="A72" s="46" t="str">
        <f>IF(C72="","","PA Consulting Group Limited 10 pence Ordinary Shares")</f>
        <v/>
      </c>
      <c r="B72" s="308" t="str">
        <f>IF(A72="","",'s104 holdings'!C109)</f>
        <v/>
      </c>
      <c r="C72" s="190" t="str">
        <f>IF('s104 holdings'!F109&lt;&gt;0,-'s104 holdings'!F109,"")</f>
        <v/>
      </c>
      <c r="D72" s="117" t="str">
        <f>IF(C72="","",'s104 holdings'!O109)</f>
        <v/>
      </c>
      <c r="E72" s="309" t="str">
        <f>IF(D72="","",'s104 holdings'!P109)</f>
        <v/>
      </c>
    </row>
    <row r="73" spans="1:6" ht="15.6" x14ac:dyDescent="0.3">
      <c r="A73" s="46" t="str">
        <f t="shared" ref="A73:A80" si="0">IF(C73="","","PA Consulting Group Limited 10 pence Ordinary Shares")</f>
        <v/>
      </c>
      <c r="B73" s="308" t="str">
        <f>IF(A73="","",'s104 holdings'!C111)</f>
        <v/>
      </c>
      <c r="C73" s="190" t="str">
        <f>IF('s104 holdings'!F111&lt;&gt;0,-'s104 holdings'!F111,"")</f>
        <v/>
      </c>
      <c r="D73" s="117" t="str">
        <f>IF(C73="","",'s104 holdings'!O111)</f>
        <v/>
      </c>
      <c r="E73" s="309" t="str">
        <f>IF(D73="","",'s104 holdings'!P111)</f>
        <v/>
      </c>
      <c r="F73" s="8" t="str">
        <f>IF(C73="","","This is your share transfer")</f>
        <v/>
      </c>
    </row>
    <row r="74" spans="1:6" ht="15.6" x14ac:dyDescent="0.3">
      <c r="A74" s="46" t="str">
        <f t="shared" si="0"/>
        <v/>
      </c>
      <c r="B74" s="308" t="str">
        <f>IF(A74="","",'s104 holdings'!C112)</f>
        <v/>
      </c>
      <c r="C74" s="190" t="str">
        <f>IF('s104 holdings'!F112&lt;&gt;0,-'s104 holdings'!F112,"")</f>
        <v/>
      </c>
      <c r="D74" s="117" t="str">
        <f>IF(C74="","",'s104 holdings'!O112)</f>
        <v/>
      </c>
      <c r="E74" s="309" t="str">
        <f>IF(D74="","",'s104 holdings'!P112)</f>
        <v/>
      </c>
      <c r="F74" s="8" t="str">
        <f>IF(C74="","","This is your share transfer")</f>
        <v/>
      </c>
    </row>
    <row r="75" spans="1:6" ht="15.6" x14ac:dyDescent="0.3">
      <c r="A75" s="46" t="str">
        <f t="shared" si="0"/>
        <v/>
      </c>
      <c r="B75" s="308" t="str">
        <f>IF(A75="","",'s104 holdings'!C114)</f>
        <v/>
      </c>
      <c r="C75" s="190" t="str">
        <f>IF('s104 holdings'!F114&lt;&gt;0,-'s104 holdings'!F114,"")</f>
        <v/>
      </c>
      <c r="D75" s="117" t="str">
        <f>IF(C75="","",'s104 holdings'!O114)</f>
        <v/>
      </c>
      <c r="E75" s="309" t="str">
        <f>IF(D75="","",'s104 holdings'!P114)</f>
        <v/>
      </c>
    </row>
    <row r="76" spans="1:6" ht="15.6" x14ac:dyDescent="0.3">
      <c r="A76" s="46" t="str">
        <f t="shared" si="0"/>
        <v/>
      </c>
      <c r="B76" s="308" t="str">
        <f>IF(A76="","",'s104 holdings'!C115)</f>
        <v/>
      </c>
      <c r="C76" s="190" t="str">
        <f>IF('s104 holdings'!F115&lt;&gt;0,-'s104 holdings'!F115,"")</f>
        <v/>
      </c>
      <c r="D76" s="117" t="str">
        <f>IF(C76="","",'s104 holdings'!O115)</f>
        <v/>
      </c>
      <c r="E76" s="309" t="str">
        <f>IF(D76="","",'s104 holdings'!P115)</f>
        <v/>
      </c>
      <c r="F76" s="8" t="str">
        <f>IF(C76="","","This is your share transfer")</f>
        <v/>
      </c>
    </row>
    <row r="77" spans="1:6" ht="15.6" x14ac:dyDescent="0.3">
      <c r="A77" s="46" t="str">
        <f t="shared" si="0"/>
        <v/>
      </c>
      <c r="B77" s="308" t="str">
        <f>IF(A77="","",'s104 holdings'!C117)</f>
        <v/>
      </c>
      <c r="C77" s="190" t="str">
        <f>IF('s104 holdings'!F117&lt;&gt;0,-'s104 holdings'!F117,"")</f>
        <v/>
      </c>
      <c r="D77" s="117" t="str">
        <f>IF(C77="","",'s104 holdings'!O117)</f>
        <v/>
      </c>
      <c r="E77" s="309" t="str">
        <f>IF(D77="","",'s104 holdings'!P117)</f>
        <v/>
      </c>
      <c r="F77" s="8" t="str">
        <f>IF(C77="","","This is your share transfer")</f>
        <v/>
      </c>
    </row>
    <row r="78" spans="1:6" ht="15.6" x14ac:dyDescent="0.3">
      <c r="A78" s="46" t="str">
        <f t="shared" si="0"/>
        <v/>
      </c>
      <c r="B78" s="308" t="str">
        <f>IF(A78="","",'s104 holdings'!C118)</f>
        <v/>
      </c>
      <c r="C78" s="190" t="str">
        <f>IF('s104 holdings'!F118&lt;&gt;0,-'s104 holdings'!F118,"")</f>
        <v/>
      </c>
      <c r="D78" s="117" t="str">
        <f>IF(C78="","",'s104 holdings'!O118)</f>
        <v/>
      </c>
      <c r="E78" s="309" t="str">
        <f>IF(D78="","",'s104 holdings'!P118)</f>
        <v/>
      </c>
    </row>
    <row r="79" spans="1:6" ht="15.6" x14ac:dyDescent="0.3">
      <c r="A79" s="46" t="str">
        <f t="shared" si="0"/>
        <v/>
      </c>
      <c r="B79" s="308" t="str">
        <f>IF(A79="","",'s104 holdings'!C121)</f>
        <v/>
      </c>
      <c r="C79" s="190" t="str">
        <f>IF('s104 holdings'!F121&lt;&gt;0,-'s104 holdings'!F121,"")</f>
        <v/>
      </c>
      <c r="D79" s="117" t="str">
        <f>IF(C79="","",'s104 holdings'!O121)</f>
        <v/>
      </c>
      <c r="E79" s="309" t="str">
        <f>IF(D79="","",'s104 holdings'!P121)</f>
        <v/>
      </c>
    </row>
    <row r="80" spans="1:6" ht="15.6" x14ac:dyDescent="0.3">
      <c r="A80" s="46" t="str">
        <f t="shared" si="0"/>
        <v/>
      </c>
      <c r="B80" s="308" t="str">
        <f>IF(A80="","",'s104 holdings'!C122)</f>
        <v/>
      </c>
      <c r="C80" s="190" t="str">
        <f>IF('s104 holdings'!K122&lt;&gt;0,-'s104 holdings'!K122,"")</f>
        <v/>
      </c>
      <c r="D80" s="117" t="str">
        <f>IF(C80="","",'s104 holdings'!O122)</f>
        <v/>
      </c>
      <c r="E80" s="309" t="str">
        <f>IF(D80="","",'s104 holdings'!P122)</f>
        <v/>
      </c>
    </row>
    <row r="81" spans="1:6" ht="15.6" x14ac:dyDescent="0.3">
      <c r="A81" s="46" t="str">
        <f>IF(C81="","","PA Consulting Group Limited Redeemable Shares")</f>
        <v/>
      </c>
      <c r="B81" s="308" t="str">
        <f>IF(A81="","",'Ipex &amp; PACG Redeemable shares'!A23)</f>
        <v/>
      </c>
      <c r="C81" s="190" t="str">
        <f>IF(B14&lt;&gt;0,B14,"")</f>
        <v/>
      </c>
      <c r="D81" s="117" t="str">
        <f>IF(C81="","",B20)</f>
        <v/>
      </c>
      <c r="E81" s="309" t="str">
        <f>IF(D81="","",B30)</f>
        <v/>
      </c>
      <c r="F81" s="8" t="str">
        <f>IF(C81="","","This is your PACG Redeemable shares redeemed")</f>
        <v/>
      </c>
    </row>
    <row r="82" spans="1:6" ht="15.6" x14ac:dyDescent="0.3">
      <c r="A82" s="46" t="s">
        <v>63</v>
      </c>
      <c r="B82" s="310"/>
      <c r="C82" s="311"/>
      <c r="D82" s="312">
        <f>SUM(D72:D81)</f>
        <v>0</v>
      </c>
      <c r="E82" s="313">
        <f>SUM(E72:E81)</f>
        <v>0</v>
      </c>
    </row>
    <row r="83" spans="1:6" ht="16.2" thickBot="1" x14ac:dyDescent="0.35">
      <c r="A83" s="53"/>
      <c r="B83" s="314"/>
      <c r="C83" s="315"/>
      <c r="D83" s="316"/>
      <c r="E83" s="317"/>
    </row>
    <row r="84" spans="1:6" ht="16.2" thickBot="1" x14ac:dyDescent="0.35">
      <c r="A84" s="112"/>
      <c r="B84" s="318"/>
      <c r="C84" s="319"/>
      <c r="D84" s="320"/>
      <c r="E84" s="321"/>
    </row>
    <row r="85" spans="1:6" ht="15.6" x14ac:dyDescent="0.3">
      <c r="A85" s="274" t="s">
        <v>380</v>
      </c>
      <c r="B85" s="322"/>
      <c r="C85" s="323"/>
      <c r="D85" s="324"/>
      <c r="E85" s="325"/>
    </row>
    <row r="86" spans="1:6" ht="15.6" x14ac:dyDescent="0.3">
      <c r="A86" s="298" t="s">
        <v>393</v>
      </c>
      <c r="B86" s="318"/>
      <c r="C86" s="319"/>
      <c r="D86" s="320"/>
      <c r="E86" s="326"/>
    </row>
    <row r="87" spans="1:6" ht="16.2" thickBot="1" x14ac:dyDescent="0.35">
      <c r="A87" s="243" t="s">
        <v>73</v>
      </c>
      <c r="B87" s="310"/>
      <c r="C87" s="311"/>
      <c r="D87" s="329"/>
      <c r="E87" s="336"/>
    </row>
    <row r="88" spans="1:6" ht="16.2" thickBot="1" x14ac:dyDescent="0.35">
      <c r="A88" s="342" t="s">
        <v>74</v>
      </c>
      <c r="B88" s="310"/>
      <c r="C88" s="342" t="s">
        <v>76</v>
      </c>
      <c r="D88" s="342"/>
      <c r="E88" s="342"/>
    </row>
    <row r="89" spans="1:6" ht="16.2" thickBot="1" x14ac:dyDescent="0.35">
      <c r="A89" s="416">
        <f>ROUNDDOWN(B32,0)</f>
        <v>0</v>
      </c>
      <c r="B89" s="310"/>
      <c r="C89" s="679">
        <f>MAX(0,D35)</f>
        <v>0</v>
      </c>
      <c r="D89" s="679"/>
      <c r="E89" s="679"/>
    </row>
    <row r="90" spans="1:6" ht="16.2" thickBot="1" x14ac:dyDescent="0.35">
      <c r="A90" s="128"/>
      <c r="B90" s="310"/>
      <c r="C90" s="311"/>
      <c r="D90" s="329"/>
      <c r="E90" s="336"/>
    </row>
    <row r="91" spans="1:6" ht="16.2" thickBot="1" x14ac:dyDescent="0.35">
      <c r="A91" s="342" t="s">
        <v>260</v>
      </c>
      <c r="B91" s="310"/>
      <c r="C91" s="342" t="s">
        <v>78</v>
      </c>
      <c r="D91" s="342"/>
      <c r="E91" s="342"/>
    </row>
    <row r="92" spans="1:6" ht="16.2" thickBot="1" x14ac:dyDescent="0.35">
      <c r="A92" s="416" t="s">
        <v>80</v>
      </c>
      <c r="B92" s="310"/>
      <c r="C92" s="679" t="s">
        <v>80</v>
      </c>
      <c r="D92" s="679"/>
      <c r="E92" s="679"/>
    </row>
    <row r="93" spans="1:6" ht="16.2" thickBot="1" x14ac:dyDescent="0.35">
      <c r="A93" s="128"/>
      <c r="B93" s="310"/>
      <c r="C93" s="311"/>
      <c r="D93" s="329"/>
      <c r="E93" s="336"/>
    </row>
    <row r="94" spans="1:6" ht="16.2" thickBot="1" x14ac:dyDescent="0.35">
      <c r="A94" s="342" t="s">
        <v>256</v>
      </c>
      <c r="B94" s="310"/>
      <c r="C94" s="342" t="s">
        <v>329</v>
      </c>
      <c r="D94" s="342"/>
      <c r="E94" s="342"/>
    </row>
    <row r="95" spans="1:6" ht="16.2" thickBot="1" x14ac:dyDescent="0.35">
      <c r="A95" s="416">
        <v>0</v>
      </c>
      <c r="B95" s="310"/>
      <c r="C95" s="679" t="s">
        <v>80</v>
      </c>
      <c r="D95" s="679"/>
      <c r="E95" s="679"/>
    </row>
    <row r="96" spans="1:6" ht="16.2" thickBot="1" x14ac:dyDescent="0.35">
      <c r="A96" s="128"/>
      <c r="B96" s="329"/>
      <c r="C96" s="110"/>
      <c r="D96" s="110"/>
      <c r="E96" s="51"/>
    </row>
    <row r="97" spans="1:5" ht="16.2" thickBot="1" x14ac:dyDescent="0.35">
      <c r="A97" s="342" t="s">
        <v>257</v>
      </c>
      <c r="B97" s="310"/>
      <c r="C97" s="342" t="s">
        <v>330</v>
      </c>
      <c r="D97" s="342"/>
      <c r="E97" s="342"/>
    </row>
    <row r="98" spans="1:5" ht="16.2" thickBot="1" x14ac:dyDescent="0.35">
      <c r="A98" s="416">
        <f>MIN(-D33,B32)</f>
        <v>0</v>
      </c>
      <c r="B98" s="310"/>
      <c r="C98" s="679" t="s">
        <v>80</v>
      </c>
      <c r="D98" s="679"/>
      <c r="E98" s="679"/>
    </row>
    <row r="99" spans="1:5" ht="16.2" thickBot="1" x14ac:dyDescent="0.35">
      <c r="A99" s="128"/>
      <c r="B99" s="110"/>
      <c r="C99" s="110"/>
      <c r="D99" s="110"/>
      <c r="E99" s="51"/>
    </row>
    <row r="100" spans="1:5" ht="16.2" thickBot="1" x14ac:dyDescent="0.35">
      <c r="A100" s="342" t="s">
        <v>270</v>
      </c>
      <c r="B100" s="310"/>
      <c r="C100" s="342" t="s">
        <v>331</v>
      </c>
      <c r="D100" s="342"/>
      <c r="E100" s="342"/>
    </row>
    <row r="101" spans="1:5" ht="16.2" thickBot="1" x14ac:dyDescent="0.35">
      <c r="A101" s="416" t="s">
        <v>80</v>
      </c>
      <c r="B101" s="310"/>
      <c r="C101" s="679" t="s">
        <v>80</v>
      </c>
      <c r="D101" s="679"/>
      <c r="E101" s="679"/>
    </row>
    <row r="102" spans="1:5" ht="16.2" thickBot="1" x14ac:dyDescent="0.35">
      <c r="A102" s="128"/>
      <c r="B102" s="110"/>
      <c r="C102" s="110"/>
      <c r="D102" s="110"/>
      <c r="E102" s="51"/>
    </row>
    <row r="103" spans="1:5" ht="16.2" thickBot="1" x14ac:dyDescent="0.35">
      <c r="A103" s="342" t="s">
        <v>85</v>
      </c>
      <c r="B103" s="310"/>
      <c r="C103" s="342" t="s">
        <v>336</v>
      </c>
      <c r="D103" s="342"/>
      <c r="E103" s="342"/>
    </row>
    <row r="104" spans="1:5" ht="16.2" thickBot="1" x14ac:dyDescent="0.35">
      <c r="A104" s="416" t="s">
        <v>80</v>
      </c>
      <c r="B104" s="310"/>
      <c r="C104" s="679" t="s">
        <v>80</v>
      </c>
      <c r="D104" s="679"/>
      <c r="E104" s="679"/>
    </row>
    <row r="105" spans="1:5" ht="16.2" thickBot="1" x14ac:dyDescent="0.35">
      <c r="A105" s="147"/>
      <c r="B105" s="337"/>
      <c r="C105" s="148"/>
      <c r="D105" s="148"/>
      <c r="E105" s="150"/>
    </row>
    <row r="106" spans="1:5" ht="16.2" thickBot="1" x14ac:dyDescent="0.35">
      <c r="A106" s="25"/>
      <c r="B106" s="318"/>
      <c r="C106" s="25"/>
      <c r="D106" s="25"/>
      <c r="E106" s="25"/>
    </row>
    <row r="107" spans="1:5" ht="15.6" x14ac:dyDescent="0.3">
      <c r="A107" s="274" t="s">
        <v>381</v>
      </c>
      <c r="B107" s="111"/>
      <c r="C107" s="111"/>
      <c r="D107" s="111"/>
      <c r="E107" s="159"/>
    </row>
    <row r="108" spans="1:5" ht="16.2" thickBot="1" x14ac:dyDescent="0.35">
      <c r="A108" s="243" t="s">
        <v>65</v>
      </c>
      <c r="B108" s="318"/>
      <c r="C108" s="112"/>
      <c r="D108" s="112"/>
      <c r="E108" s="51"/>
    </row>
    <row r="109" spans="1:5" ht="16.2" thickBot="1" x14ac:dyDescent="0.35">
      <c r="A109" s="342" t="s">
        <v>64</v>
      </c>
      <c r="B109" s="318"/>
      <c r="C109" s="343" t="s">
        <v>66</v>
      </c>
      <c r="D109" s="344"/>
      <c r="E109" s="345"/>
    </row>
    <row r="110" spans="1:5" ht="16.2" thickBot="1" x14ac:dyDescent="0.35">
      <c r="A110" s="327">
        <f>COUNT(C72:C81)</f>
        <v>0</v>
      </c>
      <c r="B110" s="318"/>
      <c r="C110" s="678">
        <f>MAX(0,ROUNDDOWN(E82,0))</f>
        <v>0</v>
      </c>
      <c r="D110" s="678"/>
      <c r="E110" s="678"/>
    </row>
    <row r="111" spans="1:5" ht="16.2" thickBot="1" x14ac:dyDescent="0.35">
      <c r="A111" s="128"/>
      <c r="B111" s="320"/>
      <c r="C111" s="319"/>
      <c r="D111" s="320"/>
      <c r="E111" s="336"/>
    </row>
    <row r="112" spans="1:5" ht="16.2" thickBot="1" x14ac:dyDescent="0.35">
      <c r="A112" s="342" t="s">
        <v>67</v>
      </c>
      <c r="B112" s="318"/>
      <c r="C112" s="342" t="s">
        <v>68</v>
      </c>
      <c r="D112" s="342"/>
      <c r="E112" s="342"/>
    </row>
    <row r="113" spans="1:5" ht="16.2" thickBot="1" x14ac:dyDescent="0.35">
      <c r="A113" s="416">
        <f>ROUNDDOWN(D82,0)</f>
        <v>0</v>
      </c>
      <c r="B113" s="318"/>
      <c r="C113" s="679" t="s">
        <v>69</v>
      </c>
      <c r="D113" s="679"/>
      <c r="E113" s="679"/>
    </row>
    <row r="114" spans="1:5" ht="16.2" thickBot="1" x14ac:dyDescent="0.35">
      <c r="A114" s="128"/>
      <c r="B114" s="320"/>
      <c r="C114" s="319"/>
      <c r="D114" s="320"/>
      <c r="E114" s="336"/>
    </row>
    <row r="115" spans="1:5" ht="16.2" thickBot="1" x14ac:dyDescent="0.35">
      <c r="A115" s="342" t="s">
        <v>70</v>
      </c>
      <c r="B115" s="318"/>
      <c r="C115" s="342" t="s">
        <v>71</v>
      </c>
      <c r="D115" s="342"/>
      <c r="E115" s="342"/>
    </row>
    <row r="116" spans="1:5" ht="16.2" thickBot="1" x14ac:dyDescent="0.35">
      <c r="A116" s="416">
        <f>D82-E82</f>
        <v>0</v>
      </c>
      <c r="B116" s="318"/>
      <c r="C116" s="679" t="s">
        <v>69</v>
      </c>
      <c r="D116" s="679"/>
      <c r="E116" s="679"/>
    </row>
    <row r="117" spans="1:5" ht="16.2" thickBot="1" x14ac:dyDescent="0.35">
      <c r="A117" s="147"/>
      <c r="B117" s="148"/>
      <c r="C117" s="148"/>
      <c r="D117" s="148"/>
      <c r="E117" s="150"/>
    </row>
    <row r="118" spans="1:5" ht="15.6" x14ac:dyDescent="0.3">
      <c r="A118" s="25"/>
      <c r="B118" s="25"/>
      <c r="C118" s="25"/>
      <c r="D118" s="25"/>
      <c r="E118" s="25"/>
    </row>
    <row r="119" spans="1:5" ht="15.6" x14ac:dyDescent="0.3">
      <c r="A119" s="25"/>
      <c r="B119" s="25"/>
      <c r="C119" s="25"/>
      <c r="D119" s="25"/>
      <c r="E119" s="25"/>
    </row>
    <row r="120" spans="1:5" ht="15.6" x14ac:dyDescent="0.3">
      <c r="A120" s="25"/>
      <c r="B120" s="25"/>
      <c r="C120" s="25"/>
      <c r="D120" s="25"/>
      <c r="E120" s="25"/>
    </row>
    <row r="121" spans="1:5" ht="15.6" x14ac:dyDescent="0.3">
      <c r="A121" s="25"/>
      <c r="B121" s="25"/>
      <c r="C121" s="25"/>
      <c r="D121" s="25"/>
      <c r="E121" s="25"/>
    </row>
    <row r="122" spans="1:5" ht="15.6" x14ac:dyDescent="0.3">
      <c r="A122" s="25"/>
      <c r="B122" s="25"/>
      <c r="C122" s="25"/>
      <c r="D122" s="25"/>
      <c r="E122" s="25"/>
    </row>
    <row r="123" spans="1:5" ht="15.6" x14ac:dyDescent="0.3">
      <c r="A123" s="25"/>
      <c r="B123" s="25"/>
      <c r="C123" s="25"/>
      <c r="D123" s="25"/>
      <c r="E123" s="25"/>
    </row>
    <row r="124" spans="1:5" ht="15.6" x14ac:dyDescent="0.3">
      <c r="A124" s="25"/>
      <c r="B124" s="25"/>
      <c r="C124" s="25"/>
      <c r="D124" s="25"/>
      <c r="E124" s="25"/>
    </row>
    <row r="125" spans="1:5" ht="15.6" x14ac:dyDescent="0.3">
      <c r="A125" s="25"/>
      <c r="B125" s="25"/>
      <c r="C125" s="25"/>
      <c r="D125" s="25"/>
      <c r="E125" s="25"/>
    </row>
    <row r="126" spans="1:5" ht="15.6" x14ac:dyDescent="0.3">
      <c r="A126" s="25"/>
      <c r="B126" s="25"/>
      <c r="C126" s="25"/>
      <c r="D126" s="25"/>
      <c r="E126" s="25"/>
    </row>
    <row r="127" spans="1:5" ht="15.6" x14ac:dyDescent="0.3">
      <c r="A127" s="25"/>
      <c r="B127" s="25"/>
      <c r="C127" s="25"/>
      <c r="D127" s="25"/>
      <c r="E127" s="25"/>
    </row>
    <row r="128" spans="1:5" ht="15.6" x14ac:dyDescent="0.3">
      <c r="A128" s="25"/>
      <c r="B128" s="25"/>
      <c r="C128" s="25"/>
      <c r="D128" s="25"/>
      <c r="E128" s="25"/>
    </row>
    <row r="129" spans="1:5" ht="15.6" x14ac:dyDescent="0.3">
      <c r="A129" s="25"/>
      <c r="B129" s="25"/>
      <c r="C129" s="25"/>
      <c r="D129" s="25"/>
      <c r="E129" s="25"/>
    </row>
    <row r="130" spans="1:5" ht="15.6" x14ac:dyDescent="0.3">
      <c r="A130" s="25"/>
      <c r="B130" s="25"/>
      <c r="C130" s="25"/>
      <c r="D130" s="25"/>
      <c r="E130" s="25"/>
    </row>
    <row r="131" spans="1:5" ht="15.6" x14ac:dyDescent="0.3">
      <c r="A131" s="25"/>
      <c r="B131" s="25"/>
      <c r="C131" s="25"/>
      <c r="D131" s="25"/>
      <c r="E131" s="25"/>
    </row>
    <row r="132" spans="1:5" ht="15.6" x14ac:dyDescent="0.3">
      <c r="A132" s="25"/>
      <c r="B132" s="25"/>
      <c r="C132" s="25"/>
      <c r="D132" s="25"/>
      <c r="E132" s="25"/>
    </row>
    <row r="133" spans="1:5" ht="15.6" x14ac:dyDescent="0.3">
      <c r="A133" s="25"/>
      <c r="B133" s="25"/>
      <c r="C133" s="25"/>
      <c r="D133" s="25"/>
      <c r="E133" s="25"/>
    </row>
    <row r="134" spans="1:5" ht="15.6" x14ac:dyDescent="0.3">
      <c r="A134" s="25"/>
      <c r="B134" s="25"/>
      <c r="C134" s="25"/>
      <c r="D134" s="25"/>
      <c r="E134" s="25"/>
    </row>
    <row r="135" spans="1:5" ht="15.6" x14ac:dyDescent="0.3">
      <c r="A135" s="25"/>
      <c r="B135" s="25"/>
      <c r="C135" s="25"/>
      <c r="D135" s="25"/>
      <c r="E135" s="25"/>
    </row>
    <row r="136" spans="1:5" ht="15.6" x14ac:dyDescent="0.3">
      <c r="A136" s="25"/>
      <c r="B136" s="25"/>
      <c r="C136" s="25"/>
      <c r="D136" s="25"/>
      <c r="E136" s="25"/>
    </row>
    <row r="137" spans="1:5" ht="15.6" x14ac:dyDescent="0.3">
      <c r="A137" s="25"/>
      <c r="B137" s="25"/>
      <c r="C137" s="25"/>
      <c r="D137" s="25"/>
      <c r="E137" s="25"/>
    </row>
    <row r="138" spans="1:5" ht="15.6" x14ac:dyDescent="0.3">
      <c r="A138" s="25"/>
      <c r="B138" s="25"/>
      <c r="C138" s="25"/>
      <c r="D138" s="25"/>
      <c r="E138" s="25"/>
    </row>
    <row r="139" spans="1:5" ht="15.6" x14ac:dyDescent="0.3">
      <c r="A139" s="25"/>
      <c r="B139" s="25"/>
      <c r="C139" s="25"/>
      <c r="D139" s="25"/>
      <c r="E139" s="25"/>
    </row>
    <row r="140" spans="1:5" ht="15.6" x14ac:dyDescent="0.3">
      <c r="A140" s="25"/>
      <c r="B140" s="25"/>
      <c r="C140" s="25"/>
      <c r="D140" s="25"/>
      <c r="E140" s="25"/>
    </row>
    <row r="141" spans="1:5" ht="15.6" x14ac:dyDescent="0.3">
      <c r="A141" s="25"/>
      <c r="B141" s="25"/>
      <c r="C141" s="25"/>
      <c r="D141" s="25"/>
      <c r="E141" s="25"/>
    </row>
    <row r="142" spans="1:5" ht="15.6" x14ac:dyDescent="0.3">
      <c r="A142" s="25"/>
      <c r="B142" s="25"/>
      <c r="C142" s="25"/>
      <c r="D142" s="25"/>
      <c r="E142" s="25"/>
    </row>
    <row r="143" spans="1:5" ht="15.6" x14ac:dyDescent="0.3">
      <c r="A143" s="25"/>
      <c r="B143" s="25"/>
      <c r="C143" s="25"/>
      <c r="D143" s="25"/>
      <c r="E143" s="25"/>
    </row>
    <row r="144" spans="1:5" ht="15.6" x14ac:dyDescent="0.3">
      <c r="A144" s="25"/>
      <c r="B144" s="25"/>
      <c r="C144" s="25"/>
      <c r="D144" s="25"/>
      <c r="E144" s="25"/>
    </row>
    <row r="145" spans="1:5" ht="15.6" x14ac:dyDescent="0.3">
      <c r="A145" s="25"/>
      <c r="B145" s="25"/>
      <c r="C145" s="25"/>
      <c r="D145" s="25"/>
      <c r="E145" s="25"/>
    </row>
    <row r="146" spans="1:5" ht="15.6" x14ac:dyDescent="0.3">
      <c r="A146" s="25"/>
      <c r="B146" s="25"/>
      <c r="C146" s="25"/>
      <c r="D146" s="25"/>
      <c r="E146" s="25"/>
    </row>
    <row r="147" spans="1:5" ht="15.6" x14ac:dyDescent="0.3">
      <c r="A147" s="25"/>
      <c r="B147" s="25"/>
      <c r="C147" s="25"/>
      <c r="D147" s="25"/>
      <c r="E147" s="25"/>
    </row>
    <row r="148" spans="1:5" ht="15.6" x14ac:dyDescent="0.3">
      <c r="A148" s="25"/>
      <c r="B148" s="25"/>
      <c r="C148" s="25"/>
      <c r="D148" s="25"/>
      <c r="E148" s="25"/>
    </row>
    <row r="149" spans="1:5" ht="15.6" x14ac:dyDescent="0.3">
      <c r="A149" s="25"/>
      <c r="B149" s="25"/>
      <c r="C149" s="25"/>
      <c r="D149" s="25"/>
      <c r="E149" s="25"/>
    </row>
    <row r="150" spans="1:5" ht="15.6" x14ac:dyDescent="0.3">
      <c r="A150" s="25"/>
      <c r="B150" s="25"/>
      <c r="C150" s="25"/>
      <c r="D150" s="25"/>
      <c r="E150" s="25"/>
    </row>
  </sheetData>
  <mergeCells count="21">
    <mergeCell ref="A41:E41"/>
    <mergeCell ref="A43:E43"/>
    <mergeCell ref="C110:E110"/>
    <mergeCell ref="C113:E113"/>
    <mergeCell ref="C116:E116"/>
    <mergeCell ref="C89:E89"/>
    <mergeCell ref="C92:E92"/>
    <mergeCell ref="C95:E95"/>
    <mergeCell ref="C98:E98"/>
    <mergeCell ref="C101:E101"/>
    <mergeCell ref="C104:E104"/>
    <mergeCell ref="B59:D59"/>
    <mergeCell ref="B60:D60"/>
    <mergeCell ref="B56:D56"/>
    <mergeCell ref="B57:D57"/>
    <mergeCell ref="B58:D58"/>
    <mergeCell ref="B61:D61"/>
    <mergeCell ref="B62:D62"/>
    <mergeCell ref="B63:D63"/>
    <mergeCell ref="B64:D64"/>
    <mergeCell ref="B65:D65"/>
  </mergeCells>
  <dataValidations count="3">
    <dataValidation type="list" allowBlank="1" showInputMessage="1" showErrorMessage="1" sqref="C12" xr:uid="{00000000-0002-0000-0600-000000000000}">
      <formula1>#REF!</formula1>
    </dataValidation>
    <dataValidation type="list" allowBlank="1" showInputMessage="1" showErrorMessage="1" sqref="B10:B11" xr:uid="{00000000-0002-0000-0600-000001000000}">
      <formula1>$H$10:$H$13</formula1>
    </dataValidation>
    <dataValidation allowBlank="1" showInputMessage="1" showErrorMessage="1" promptTitle="Enter as negative number" sqref="D33:D35" xr:uid="{00000000-0002-0000-0600-000002000000}"/>
  </dataValidations>
  <pageMargins left="0.70866141732283472" right="0.70866141732283472" top="0.74803149606299213" bottom="0.74803149606299213" header="0.31496062992125984" footer="0.31496062992125984"/>
  <pageSetup paperSize="9" scale="64"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67"/>
  <sheetViews>
    <sheetView zoomScaleNormal="100" workbookViewId="0"/>
  </sheetViews>
  <sheetFormatPr defaultRowHeight="13.2" x14ac:dyDescent="0.25"/>
  <cols>
    <col min="1" max="1" width="62.109375" customWidth="1"/>
    <col min="2" max="2" width="17.109375" customWidth="1"/>
    <col min="3" max="3" width="14.44140625" customWidth="1"/>
    <col min="4" max="4" width="14.88671875" customWidth="1"/>
    <col min="5" max="5" width="72.44140625" customWidth="1"/>
  </cols>
  <sheetData>
    <row r="1" spans="1:5" ht="21" x14ac:dyDescent="0.4">
      <c r="A1" s="101" t="s">
        <v>319</v>
      </c>
      <c r="B1" s="25"/>
      <c r="C1" s="25"/>
      <c r="D1" s="25"/>
      <c r="E1" s="25"/>
    </row>
    <row r="2" spans="1:5" ht="16.2" thickBot="1" x14ac:dyDescent="0.35">
      <c r="A2" s="21"/>
      <c r="B2" s="25"/>
      <c r="C2" s="25"/>
      <c r="D2" s="25"/>
      <c r="E2" s="25"/>
    </row>
    <row r="3" spans="1:5" ht="15.6" x14ac:dyDescent="0.3">
      <c r="A3" s="197" t="s">
        <v>114</v>
      </c>
      <c r="B3" s="202"/>
      <c r="C3" s="202"/>
      <c r="D3" s="202"/>
      <c r="E3" s="203"/>
    </row>
    <row r="4" spans="1:5" ht="15.6" x14ac:dyDescent="0.3">
      <c r="A4" s="223" t="s">
        <v>231</v>
      </c>
      <c r="B4" s="238"/>
      <c r="C4" s="238"/>
      <c r="D4" s="238"/>
      <c r="E4" s="220"/>
    </row>
    <row r="5" spans="1:5" ht="26.25" customHeight="1" thickBot="1" x14ac:dyDescent="0.45">
      <c r="A5" s="338" t="s">
        <v>362</v>
      </c>
      <c r="B5" s="226"/>
      <c r="C5" s="339"/>
      <c r="D5" s="226"/>
      <c r="E5" s="227"/>
    </row>
    <row r="6" spans="1:5" ht="16.2" thickBot="1" x14ac:dyDescent="0.35">
      <c r="A6" s="21"/>
      <c r="B6" s="25"/>
      <c r="C6" s="25"/>
      <c r="D6" s="25"/>
      <c r="E6" s="25"/>
    </row>
    <row r="7" spans="1:5" ht="15.6" x14ac:dyDescent="0.3">
      <c r="A7" s="274" t="s">
        <v>363</v>
      </c>
      <c r="B7" s="111"/>
      <c r="C7" s="111"/>
      <c r="D7" s="111"/>
      <c r="E7" s="159"/>
    </row>
    <row r="8" spans="1:5" ht="15.6" x14ac:dyDescent="0.3">
      <c r="A8" s="243"/>
      <c r="B8" s="112"/>
      <c r="C8" s="112"/>
      <c r="D8" s="112"/>
      <c r="E8" s="129"/>
    </row>
    <row r="9" spans="1:5" ht="15.6" x14ac:dyDescent="0.3">
      <c r="A9" s="275" t="s">
        <v>272</v>
      </c>
      <c r="B9" s="288" t="s">
        <v>39</v>
      </c>
      <c r="C9" s="288" t="s">
        <v>37</v>
      </c>
      <c r="D9" s="288" t="s">
        <v>38</v>
      </c>
      <c r="E9" s="129"/>
    </row>
    <row r="10" spans="1:5" ht="98.25" customHeight="1" x14ac:dyDescent="0.3">
      <c r="A10" s="289" t="s">
        <v>327</v>
      </c>
      <c r="B10" s="290"/>
      <c r="C10" s="290"/>
      <c r="D10" s="244" t="str">
        <f>IF(B10*C10&gt;0,B10*C10,"")</f>
        <v/>
      </c>
      <c r="E10" s="408" t="s">
        <v>375</v>
      </c>
    </row>
    <row r="11" spans="1:5" ht="15.6" x14ac:dyDescent="0.3">
      <c r="A11" s="114"/>
      <c r="B11" s="292"/>
      <c r="C11" s="244"/>
      <c r="D11" s="244"/>
      <c r="E11" s="293"/>
    </row>
    <row r="12" spans="1:5" ht="15.6" x14ac:dyDescent="0.3">
      <c r="A12" s="275" t="s">
        <v>320</v>
      </c>
      <c r="B12" s="288" t="s">
        <v>278</v>
      </c>
      <c r="C12" s="288"/>
      <c r="D12" s="288" t="s">
        <v>38</v>
      </c>
      <c r="E12" s="129"/>
    </row>
    <row r="13" spans="1:5" ht="39" customHeight="1" x14ac:dyDescent="0.3">
      <c r="A13" s="289" t="s">
        <v>410</v>
      </c>
      <c r="B13" s="292">
        <f>SUM('Ipex &amp; PACG Redeemable shares'!E19:E22)</f>
        <v>0</v>
      </c>
      <c r="C13" s="244"/>
      <c r="D13" s="244">
        <f>'Ipex &amp; PACG Redeemable shares'!C31</f>
        <v>0</v>
      </c>
      <c r="E13" s="291" t="s">
        <v>328</v>
      </c>
    </row>
    <row r="14" spans="1:5" ht="15.6" x14ac:dyDescent="0.3">
      <c r="A14" s="128"/>
      <c r="B14" s="112"/>
      <c r="C14" s="112"/>
      <c r="D14" s="112"/>
      <c r="E14" s="129"/>
    </row>
    <row r="15" spans="1:5" ht="15.6" x14ac:dyDescent="0.3">
      <c r="A15" s="275" t="s">
        <v>91</v>
      </c>
      <c r="B15" s="288" t="s">
        <v>104</v>
      </c>
      <c r="C15" s="112"/>
      <c r="D15" s="112"/>
      <c r="E15" s="129"/>
    </row>
    <row r="16" spans="1:5" ht="15.6" x14ac:dyDescent="0.3">
      <c r="A16" s="128" t="s">
        <v>102</v>
      </c>
      <c r="B16" s="244">
        <f>SUM('s104 holdings'!O93:O106)</f>
        <v>0</v>
      </c>
      <c r="C16" s="112"/>
      <c r="D16" s="112"/>
      <c r="E16" s="129"/>
    </row>
    <row r="17" spans="1:5" ht="15.6" x14ac:dyDescent="0.3">
      <c r="A17" s="128" t="str">
        <f>IF(B10&gt;0,"From 2007/2008 PA Option exercise of "&amp;B10&amp;" shares","")</f>
        <v/>
      </c>
      <c r="B17" s="244" t="str">
        <f>IF(B10&gt;0,B10*(C10+5.5),"")</f>
        <v/>
      </c>
      <c r="C17" s="112"/>
      <c r="D17" s="112"/>
      <c r="E17" s="129"/>
    </row>
    <row r="18" spans="1:5" ht="15.6" x14ac:dyDescent="0.3">
      <c r="A18" s="128" t="str">
        <f>IF(B13&gt;0,"From redemption of "&amp;B13&amp;" PACG2 redeemable shares","")</f>
        <v/>
      </c>
      <c r="B18" s="244">
        <f>'Ipex &amp; PACG Redeemable shares'!B31</f>
        <v>0</v>
      </c>
      <c r="C18" s="112"/>
      <c r="D18" s="112"/>
      <c r="E18" s="129"/>
    </row>
    <row r="19" spans="1:5" ht="15.6" x14ac:dyDescent="0.3">
      <c r="A19" s="128" t="s">
        <v>103</v>
      </c>
      <c r="B19" s="294"/>
      <c r="C19" s="112"/>
      <c r="D19" s="112"/>
      <c r="E19" s="129"/>
    </row>
    <row r="20" spans="1:5" ht="15.6" x14ac:dyDescent="0.3">
      <c r="A20" s="243" t="s">
        <v>41</v>
      </c>
      <c r="B20" s="295">
        <f>SUM(B16:B19)</f>
        <v>0</v>
      </c>
      <c r="C20" s="112"/>
      <c r="D20" s="112"/>
      <c r="E20" s="129"/>
    </row>
    <row r="21" spans="1:5" ht="15.6" x14ac:dyDescent="0.3">
      <c r="A21" s="128" t="s">
        <v>321</v>
      </c>
      <c r="B21" s="340" t="str">
        <f>IF(B20&gt;43600,"Yes, you are required to report your disposal on your tax return","No, only required to report if taxable gains more than £10,900 or elections to be made")</f>
        <v>No, only required to report if taxable gains more than £10,900 or elections to be made</v>
      </c>
      <c r="C21" s="112"/>
      <c r="D21" s="112"/>
      <c r="E21" s="129"/>
    </row>
    <row r="22" spans="1:5" ht="15.6" x14ac:dyDescent="0.3">
      <c r="A22" s="128"/>
      <c r="B22" s="112"/>
      <c r="C22" s="112"/>
      <c r="D22" s="112"/>
      <c r="E22" s="129"/>
    </row>
    <row r="23" spans="1:5" ht="15.6" x14ac:dyDescent="0.3">
      <c r="A23" s="128"/>
      <c r="B23" s="112"/>
      <c r="C23" s="112"/>
      <c r="D23" s="112"/>
      <c r="E23" s="129"/>
    </row>
    <row r="24" spans="1:5" ht="15.6" x14ac:dyDescent="0.3">
      <c r="A24" s="275" t="s">
        <v>418</v>
      </c>
      <c r="B24" s="288" t="s">
        <v>419</v>
      </c>
      <c r="C24" s="112"/>
      <c r="D24" s="112"/>
      <c r="E24" s="129"/>
    </row>
    <row r="25" spans="1:5" ht="15.6" x14ac:dyDescent="0.3">
      <c r="A25" s="128" t="str">
        <f>A16</f>
        <v>From PA share sales per s104 Holdings sheet</v>
      </c>
      <c r="B25" s="244">
        <f>SUM('s104 holdings'!P93:P106)</f>
        <v>0</v>
      </c>
      <c r="C25" s="112"/>
      <c r="D25" s="112"/>
      <c r="E25" s="129"/>
    </row>
    <row r="26" spans="1:5" ht="15.6" x14ac:dyDescent="0.3">
      <c r="A26" s="128" t="str">
        <f>IF(A17&lt;&gt;"","Gain on above PA share option exercise","")</f>
        <v/>
      </c>
      <c r="B26" s="244" t="str">
        <f>IF(D10&gt;0,D10,"")</f>
        <v/>
      </c>
      <c r="C26" s="112"/>
      <c r="D26" s="112"/>
      <c r="E26" s="129"/>
    </row>
    <row r="27" spans="1:5" ht="15.6" x14ac:dyDescent="0.3">
      <c r="A27" s="128" t="str">
        <f>IF(A18&lt;&gt;"","Gain on above PACG2 share redemption","")</f>
        <v/>
      </c>
      <c r="B27" s="244" t="str">
        <f>IF(D13&gt;0,D13,"")</f>
        <v/>
      </c>
      <c r="C27" s="112"/>
      <c r="D27" s="112"/>
      <c r="E27" s="129"/>
    </row>
    <row r="28" spans="1:5" ht="15.6" x14ac:dyDescent="0.3">
      <c r="A28" s="128" t="s">
        <v>372</v>
      </c>
      <c r="B28" s="244">
        <f>'Ipex &amp; PACG Redeemable shares'!B9</f>
        <v>0</v>
      </c>
      <c r="C28" s="112"/>
      <c r="D28" s="112"/>
      <c r="E28" s="129"/>
    </row>
    <row r="29" spans="1:5" ht="16.2" thickBot="1" x14ac:dyDescent="0.35">
      <c r="A29" s="128" t="str">
        <f>A19</f>
        <v>Any non-PA chargeable sales you made</v>
      </c>
      <c r="B29" s="294"/>
      <c r="C29" s="112"/>
      <c r="D29" s="112"/>
      <c r="E29" s="129"/>
    </row>
    <row r="30" spans="1:5" ht="15.6" x14ac:dyDescent="0.3">
      <c r="A30" s="243" t="s">
        <v>417</v>
      </c>
      <c r="B30" s="295">
        <f>SUM(B25:B29)</f>
        <v>0</v>
      </c>
      <c r="C30" s="112"/>
      <c r="D30" s="242" t="s">
        <v>413</v>
      </c>
      <c r="E30" s="159"/>
    </row>
    <row r="31" spans="1:5" ht="15.6" x14ac:dyDescent="0.3">
      <c r="A31" s="128" t="s">
        <v>412</v>
      </c>
      <c r="B31" s="433">
        <f>-D31</f>
        <v>0</v>
      </c>
      <c r="D31" s="457"/>
      <c r="E31" s="437" t="s">
        <v>415</v>
      </c>
    </row>
    <row r="32" spans="1:5" ht="16.2" thickBot="1" x14ac:dyDescent="0.35">
      <c r="A32" s="128" t="s">
        <v>45</v>
      </c>
      <c r="B32" s="435">
        <v>-10900</v>
      </c>
      <c r="C32" s="112"/>
      <c r="D32" s="436">
        <f>D31+B31</f>
        <v>0</v>
      </c>
      <c r="E32" s="438" t="s">
        <v>416</v>
      </c>
    </row>
    <row r="33" spans="1:6" ht="15.6" x14ac:dyDescent="0.3">
      <c r="A33" s="243" t="s">
        <v>46</v>
      </c>
      <c r="B33" s="295">
        <f>MAX(0,SUM(B30:B32))</f>
        <v>0</v>
      </c>
      <c r="C33" s="112"/>
      <c r="D33" s="112"/>
      <c r="E33" s="129"/>
    </row>
    <row r="34" spans="1:6" ht="15.6" x14ac:dyDescent="0.3">
      <c r="A34" s="128" t="s">
        <v>322</v>
      </c>
      <c r="B34" s="340" t="str">
        <f>IF(B33&gt;0,"Yes, you must report your gains on your tax return","No, you only need report gains where total disposal proceeds are greater than 4 x £10,900 exemption or elections being made")</f>
        <v>No, you only need report gains where total disposal proceeds are greater than 4 x £10,900 exemption or elections being made</v>
      </c>
      <c r="C34" s="112"/>
      <c r="D34" s="112"/>
      <c r="E34" s="129"/>
    </row>
    <row r="35" spans="1:6" ht="15.6" x14ac:dyDescent="0.3">
      <c r="A35" s="298" t="str">
        <f>IF(B33&gt;0,"Tax @28% due by 31 January 2015 on your gains:","")</f>
        <v/>
      </c>
      <c r="B35" s="299" t="str">
        <f>IF(A35="","",ROUND(B33*28%,2))</f>
        <v/>
      </c>
      <c r="C35" s="112"/>
      <c r="D35" s="441"/>
      <c r="E35" s="129"/>
    </row>
    <row r="36" spans="1:6" ht="16.2" thickBot="1" x14ac:dyDescent="0.35">
      <c r="A36" s="300"/>
      <c r="B36" s="148"/>
      <c r="C36" s="148"/>
      <c r="D36" s="148"/>
      <c r="E36" s="150"/>
    </row>
    <row r="37" spans="1:6" ht="16.2" thickBot="1" x14ac:dyDescent="0.35">
      <c r="A37" s="25"/>
      <c r="B37" s="25"/>
      <c r="C37" s="25"/>
      <c r="D37" s="25"/>
      <c r="E37" s="25"/>
    </row>
    <row r="38" spans="1:6" ht="18.600000000000001" thickBot="1" x14ac:dyDescent="0.4">
      <c r="A38" s="685" t="s">
        <v>390</v>
      </c>
      <c r="B38" s="686"/>
      <c r="C38" s="686"/>
      <c r="D38" s="686"/>
      <c r="E38" s="687"/>
    </row>
    <row r="39" spans="1:6" ht="15.6" x14ac:dyDescent="0.3">
      <c r="A39" s="128"/>
      <c r="B39" s="112"/>
      <c r="C39" s="112"/>
      <c r="D39" s="112"/>
      <c r="E39" s="129"/>
    </row>
    <row r="40" spans="1:6" ht="35.25" customHeight="1" x14ac:dyDescent="0.25">
      <c r="A40" s="675" t="s">
        <v>391</v>
      </c>
      <c r="B40" s="676"/>
      <c r="C40" s="676"/>
      <c r="D40" s="676"/>
      <c r="E40" s="677"/>
    </row>
    <row r="41" spans="1:6" ht="16.2" thickBot="1" x14ac:dyDescent="0.35">
      <c r="A41" s="128"/>
      <c r="B41" s="318"/>
      <c r="C41" s="319"/>
      <c r="D41" s="320"/>
      <c r="E41" s="326"/>
    </row>
    <row r="42" spans="1:6" ht="15.6" x14ac:dyDescent="0.3">
      <c r="A42" s="274" t="s">
        <v>392</v>
      </c>
      <c r="B42" s="322"/>
      <c r="C42" s="323"/>
      <c r="D42" s="324"/>
      <c r="E42" s="325"/>
      <c r="F42" s="3"/>
    </row>
    <row r="43" spans="1:6" ht="16.2" thickBot="1" x14ac:dyDescent="0.35">
      <c r="A43" s="298" t="s">
        <v>393</v>
      </c>
      <c r="B43" s="318"/>
      <c r="C43" s="319"/>
      <c r="D43" s="320"/>
      <c r="E43" s="326"/>
      <c r="F43" s="3"/>
    </row>
    <row r="44" spans="1:6" ht="16.2" thickBot="1" x14ac:dyDescent="0.35">
      <c r="A44" s="342" t="s">
        <v>337</v>
      </c>
      <c r="B44" s="327">
        <f>COUNT(C69:C79)</f>
        <v>0</v>
      </c>
      <c r="C44" s="319"/>
      <c r="D44" s="320"/>
      <c r="E44" s="326"/>
      <c r="F44" s="3"/>
    </row>
    <row r="45" spans="1:6" ht="16.2" thickBot="1" x14ac:dyDescent="0.35">
      <c r="A45" s="342" t="s">
        <v>91</v>
      </c>
      <c r="B45" s="431">
        <f>ROUNDDOWN(D80,0)</f>
        <v>0</v>
      </c>
      <c r="C45" s="319"/>
      <c r="D45" s="320"/>
      <c r="E45" s="326"/>
      <c r="F45" s="3"/>
    </row>
    <row r="46" spans="1:6" ht="16.2" thickBot="1" x14ac:dyDescent="0.35">
      <c r="A46" s="342" t="s">
        <v>338</v>
      </c>
      <c r="B46" s="431">
        <f>D80-E80</f>
        <v>0</v>
      </c>
      <c r="C46" s="311"/>
      <c r="D46" s="320"/>
      <c r="E46" s="326"/>
      <c r="F46" s="3"/>
    </row>
    <row r="47" spans="1:6" ht="16.2" thickBot="1" x14ac:dyDescent="0.35">
      <c r="A47" s="342" t="s">
        <v>340</v>
      </c>
      <c r="B47" s="431">
        <f>SUM(E69:E78)</f>
        <v>0</v>
      </c>
      <c r="C47" s="110"/>
      <c r="D47" s="329"/>
      <c r="E47" s="326"/>
      <c r="F47" s="3"/>
    </row>
    <row r="48" spans="1:6" ht="16.2" thickBot="1" x14ac:dyDescent="0.35">
      <c r="A48" s="342" t="s">
        <v>341</v>
      </c>
      <c r="B48" s="431" t="s">
        <v>69</v>
      </c>
      <c r="C48" s="110"/>
      <c r="D48" s="329"/>
      <c r="E48" s="326"/>
      <c r="F48" s="3"/>
    </row>
    <row r="49" spans="1:6" ht="16.2" thickBot="1" x14ac:dyDescent="0.35">
      <c r="A49" s="342" t="s">
        <v>342</v>
      </c>
      <c r="B49" s="431" t="s">
        <v>69</v>
      </c>
      <c r="C49" s="331"/>
      <c r="D49" s="331"/>
      <c r="E49" s="425"/>
      <c r="F49" s="3"/>
    </row>
    <row r="50" spans="1:6" ht="16.2" thickBot="1" x14ac:dyDescent="0.35">
      <c r="A50" s="128"/>
      <c r="B50" s="318"/>
      <c r="C50" s="319"/>
      <c r="D50" s="320"/>
      <c r="E50" s="326"/>
    </row>
    <row r="51" spans="1:6" ht="15.6" x14ac:dyDescent="0.3">
      <c r="A51" s="274" t="s">
        <v>396</v>
      </c>
      <c r="B51" s="322"/>
      <c r="C51" s="323"/>
      <c r="D51" s="324"/>
      <c r="E51" s="325"/>
      <c r="F51" s="3"/>
    </row>
    <row r="52" spans="1:6" ht="16.2" thickBot="1" x14ac:dyDescent="0.35">
      <c r="A52" s="298" t="s">
        <v>393</v>
      </c>
      <c r="B52" s="318"/>
      <c r="C52" s="319"/>
      <c r="D52" s="320"/>
      <c r="E52" s="326"/>
      <c r="F52" s="3"/>
    </row>
    <row r="53" spans="1:6" ht="16.2" thickBot="1" x14ac:dyDescent="0.35">
      <c r="A53" s="342" t="s">
        <v>397</v>
      </c>
      <c r="B53" s="689" t="s">
        <v>400</v>
      </c>
      <c r="C53" s="690"/>
      <c r="D53" s="691"/>
      <c r="E53" s="326"/>
      <c r="F53" s="3"/>
    </row>
    <row r="54" spans="1:6" ht="16.2" thickBot="1" x14ac:dyDescent="0.35">
      <c r="A54" s="342" t="s">
        <v>401</v>
      </c>
      <c r="B54" s="689" t="s">
        <v>80</v>
      </c>
      <c r="C54" s="690"/>
      <c r="D54" s="691"/>
      <c r="E54" s="326"/>
      <c r="F54" s="3"/>
    </row>
    <row r="55" spans="1:6" ht="16.2" thickBot="1" x14ac:dyDescent="0.35">
      <c r="A55" s="342" t="s">
        <v>398</v>
      </c>
      <c r="B55" s="692" t="s">
        <v>80</v>
      </c>
      <c r="C55" s="693"/>
      <c r="D55" s="694"/>
      <c r="E55" s="326"/>
      <c r="F55" s="3"/>
    </row>
    <row r="56" spans="1:6" ht="16.2" thickBot="1" x14ac:dyDescent="0.35">
      <c r="A56" s="343" t="s">
        <v>399</v>
      </c>
      <c r="B56" s="695">
        <f>E79</f>
        <v>0</v>
      </c>
      <c r="C56" s="696"/>
      <c r="D56" s="697"/>
      <c r="E56" s="326"/>
      <c r="F56" s="3"/>
    </row>
    <row r="57" spans="1:6" s="426" customFormat="1" ht="96" customHeight="1" thickBot="1" x14ac:dyDescent="0.3">
      <c r="A57" s="428" t="s">
        <v>403</v>
      </c>
      <c r="B57" s="698" t="s">
        <v>402</v>
      </c>
      <c r="C57" s="699"/>
      <c r="D57" s="700"/>
      <c r="E57" s="326"/>
      <c r="F57" s="3"/>
    </row>
    <row r="58" spans="1:6" ht="16.2" thickBot="1" x14ac:dyDescent="0.35">
      <c r="A58" s="428" t="s">
        <v>405</v>
      </c>
      <c r="B58" s="695" t="e">
        <f>#REF!</f>
        <v>#REF!</v>
      </c>
      <c r="C58" s="696"/>
      <c r="D58" s="697"/>
      <c r="E58" s="326"/>
      <c r="F58" s="3"/>
    </row>
    <row r="59" spans="1:6" ht="16.2" thickBot="1" x14ac:dyDescent="0.3">
      <c r="A59" s="428" t="s">
        <v>406</v>
      </c>
      <c r="B59" s="698" t="s">
        <v>80</v>
      </c>
      <c r="C59" s="699"/>
      <c r="D59" s="700"/>
      <c r="E59" s="326"/>
      <c r="F59" s="3"/>
    </row>
    <row r="60" spans="1:6" ht="31.8" thickBot="1" x14ac:dyDescent="0.3">
      <c r="A60" s="428" t="s">
        <v>407</v>
      </c>
      <c r="B60" s="698" t="s">
        <v>80</v>
      </c>
      <c r="C60" s="699"/>
      <c r="D60" s="700"/>
      <c r="E60" s="326"/>
      <c r="F60" s="3"/>
    </row>
    <row r="61" spans="1:6" ht="31.8" thickBot="1" x14ac:dyDescent="0.3">
      <c r="A61" s="428" t="s">
        <v>408</v>
      </c>
      <c r="B61" s="698" t="s">
        <v>80</v>
      </c>
      <c r="C61" s="699"/>
      <c r="D61" s="700"/>
      <c r="E61" s="326"/>
      <c r="F61" s="3"/>
    </row>
    <row r="62" spans="1:6" s="426" customFormat="1" ht="81" customHeight="1" thickBot="1" x14ac:dyDescent="0.3">
      <c r="A62" s="428" t="s">
        <v>409</v>
      </c>
      <c r="B62" s="682">
        <f>-D32</f>
        <v>0</v>
      </c>
      <c r="C62" s="683"/>
      <c r="D62" s="684"/>
      <c r="E62" s="425" t="s">
        <v>402</v>
      </c>
      <c r="F62" s="3"/>
    </row>
    <row r="63" spans="1:6" ht="16.2" thickBot="1" x14ac:dyDescent="0.35">
      <c r="A63" s="427"/>
      <c r="B63" s="355"/>
      <c r="C63" s="330"/>
      <c r="D63" s="330"/>
      <c r="E63" s="336"/>
      <c r="F63" s="3"/>
    </row>
    <row r="64" spans="1:6" ht="15.6" x14ac:dyDescent="0.3">
      <c r="A64" s="274" t="s">
        <v>261</v>
      </c>
      <c r="B64" s="301"/>
      <c r="C64" s="301"/>
      <c r="D64" s="301"/>
      <c r="E64" s="302"/>
    </row>
    <row r="65" spans="1:6" ht="15.6" x14ac:dyDescent="0.3">
      <c r="A65" s="303" t="s">
        <v>267</v>
      </c>
      <c r="B65" s="110"/>
      <c r="C65" s="110"/>
      <c r="D65" s="110"/>
      <c r="E65" s="51"/>
    </row>
    <row r="66" spans="1:6" ht="15.6" x14ac:dyDescent="0.3">
      <c r="A66" s="303" t="s">
        <v>263</v>
      </c>
      <c r="B66" s="110"/>
      <c r="C66" s="110"/>
      <c r="D66" s="110"/>
      <c r="E66" s="51"/>
    </row>
    <row r="67" spans="1:6" ht="15.6" x14ac:dyDescent="0.3">
      <c r="A67" s="46"/>
      <c r="B67" s="110"/>
      <c r="C67" s="110"/>
      <c r="D67" s="110"/>
      <c r="E67" s="51"/>
    </row>
    <row r="68" spans="1:6" ht="15.6" x14ac:dyDescent="0.3">
      <c r="A68" s="304" t="s">
        <v>245</v>
      </c>
      <c r="B68" s="305" t="s">
        <v>53</v>
      </c>
      <c r="C68" s="306" t="s">
        <v>55</v>
      </c>
      <c r="D68" s="306" t="s">
        <v>54</v>
      </c>
      <c r="E68" s="307" t="s">
        <v>56</v>
      </c>
      <c r="F68" t="s">
        <v>244</v>
      </c>
    </row>
    <row r="69" spans="1:6" ht="15.6" x14ac:dyDescent="0.3">
      <c r="A69" s="46" t="str">
        <f>IF(C69="","","PA Consulting Group Limited 10 pence Ordinary Shares")</f>
        <v/>
      </c>
      <c r="B69" s="308" t="str">
        <f>IF(A69="","",'s104 holdings'!C93)</f>
        <v/>
      </c>
      <c r="C69" s="190" t="str">
        <f>IF('s104 holdings'!F93&lt;&gt;0,-'s104 holdings'!F93,"")</f>
        <v/>
      </c>
      <c r="D69" s="117" t="str">
        <f>IF(C69="","",'s104 holdings'!O93)</f>
        <v/>
      </c>
      <c r="E69" s="309" t="str">
        <f>IF(D69="","",'s104 holdings'!P93)</f>
        <v/>
      </c>
    </row>
    <row r="70" spans="1:6" ht="15.6" x14ac:dyDescent="0.3">
      <c r="A70" s="46" t="str">
        <f t="shared" ref="A70:A75" si="0">IF(C70="","","PA Consulting Group Limited 10 pence Ordinary Shares")</f>
        <v/>
      </c>
      <c r="B70" s="308" t="str">
        <f>IF(A70="","",'s104 holdings'!C95)</f>
        <v/>
      </c>
      <c r="C70" s="190" t="str">
        <f>IF('s104 holdings'!F95&lt;&gt;0,-'s104 holdings'!F95,"")</f>
        <v/>
      </c>
      <c r="D70" s="117" t="str">
        <f>IF(C70="","",'s104 holdings'!O95)</f>
        <v/>
      </c>
      <c r="E70" s="309" t="str">
        <f>IF(D70="","",'s104 holdings'!P95)</f>
        <v/>
      </c>
      <c r="F70" s="8" t="str">
        <f>IF(C70="","","This is your share transfer")</f>
        <v/>
      </c>
    </row>
    <row r="71" spans="1:6" ht="15.6" x14ac:dyDescent="0.3">
      <c r="A71" s="46" t="str">
        <f t="shared" si="0"/>
        <v/>
      </c>
      <c r="B71" s="308" t="str">
        <f>IF(A71="","",'s104 holdings'!C96)</f>
        <v/>
      </c>
      <c r="C71" s="190" t="str">
        <f>IF('s104 holdings'!F96&lt;&gt;0,-'s104 holdings'!F96,"")</f>
        <v/>
      </c>
      <c r="D71" s="117" t="str">
        <f>IF(C71="","",'s104 holdings'!O96)</f>
        <v/>
      </c>
      <c r="E71" s="309" t="str">
        <f>IF(D71="","",'s104 holdings'!P96)</f>
        <v/>
      </c>
      <c r="F71" s="8" t="str">
        <f>IF(C71="","","This is your share transfer")</f>
        <v/>
      </c>
    </row>
    <row r="72" spans="1:6" ht="15.6" x14ac:dyDescent="0.3">
      <c r="A72" s="46" t="str">
        <f t="shared" si="0"/>
        <v/>
      </c>
      <c r="B72" s="308" t="str">
        <f>IF(A72="","",'s104 holdings'!C98)</f>
        <v/>
      </c>
      <c r="C72" s="190" t="str">
        <f>IF('s104 holdings'!F98&lt;&gt;0,-'s104 holdings'!F98,"")</f>
        <v/>
      </c>
      <c r="D72" s="117" t="str">
        <f>IF(C72="","",'s104 holdings'!O98)</f>
        <v/>
      </c>
      <c r="E72" s="309" t="str">
        <f>IF(D72="","",'s104 holdings'!P98)</f>
        <v/>
      </c>
    </row>
    <row r="73" spans="1:6" ht="15.6" x14ac:dyDescent="0.3">
      <c r="A73" s="46" t="str">
        <f t="shared" si="0"/>
        <v/>
      </c>
      <c r="B73" s="308" t="str">
        <f>IF(A73="","",'s104 holdings'!C99)</f>
        <v/>
      </c>
      <c r="C73" s="190" t="str">
        <f>IF('s104 holdings'!F99&lt;&gt;0,-'s104 holdings'!F99,"")</f>
        <v/>
      </c>
      <c r="D73" s="117" t="str">
        <f>IF(C73="","",'s104 holdings'!O99)</f>
        <v/>
      </c>
      <c r="E73" s="309" t="str">
        <f>IF(D73="","",'s104 holdings'!P99)</f>
        <v/>
      </c>
      <c r="F73" s="8" t="str">
        <f>IF(C73="","","This is your share transfer")</f>
        <v/>
      </c>
    </row>
    <row r="74" spans="1:6" ht="15.6" x14ac:dyDescent="0.3">
      <c r="A74" s="46" t="str">
        <f t="shared" si="0"/>
        <v/>
      </c>
      <c r="B74" s="308" t="str">
        <f>IF(A74="","",'s104 holdings'!C101)</f>
        <v/>
      </c>
      <c r="C74" s="190" t="str">
        <f>IF('s104 holdings'!F101&lt;&gt;0,-'s104 holdings'!F101,"")</f>
        <v/>
      </c>
      <c r="D74" s="117" t="str">
        <f>IF(C74="","",'s104 holdings'!O101)</f>
        <v/>
      </c>
      <c r="E74" s="309" t="str">
        <f>IF(D74="","",'s104 holdings'!P101)</f>
        <v/>
      </c>
      <c r="F74" s="8" t="str">
        <f>IF(C74="","","This is your share transfer")</f>
        <v/>
      </c>
    </row>
    <row r="75" spans="1:6" ht="15.6" x14ac:dyDescent="0.3">
      <c r="A75" s="46" t="str">
        <f t="shared" si="0"/>
        <v/>
      </c>
      <c r="B75" s="308" t="str">
        <f>IF(A75="","",'s104 holdings'!C102)</f>
        <v/>
      </c>
      <c r="C75" s="190" t="str">
        <f>IF('s104 holdings'!F102&lt;&gt;0,-'s104 holdings'!F102,"")</f>
        <v/>
      </c>
      <c r="D75" s="117" t="str">
        <f>IF(C75="","",'s104 holdings'!O102)</f>
        <v/>
      </c>
      <c r="E75" s="309" t="str">
        <f>IF(D75="","",'s104 holdings'!P102)</f>
        <v/>
      </c>
    </row>
    <row r="76" spans="1:6" ht="15.6" x14ac:dyDescent="0.3">
      <c r="A76" s="46" t="str">
        <f t="shared" ref="A76:A77" si="1">IF(C76="","","PA Consulting Group Limited 10 pence Ordinary Shares")</f>
        <v/>
      </c>
      <c r="B76" s="308" t="str">
        <f>IF(A76="","",'s104 holdings'!C105)</f>
        <v/>
      </c>
      <c r="C76" s="190" t="str">
        <f>IF('s104 holdings'!F105&lt;&gt;0,-'s104 holdings'!F105,"")</f>
        <v/>
      </c>
      <c r="D76" s="117" t="str">
        <f>IF(C76="","",'s104 holdings'!O105)</f>
        <v/>
      </c>
      <c r="E76" s="309" t="str">
        <f>IF(D76="","",'s104 holdings'!P105)</f>
        <v/>
      </c>
    </row>
    <row r="77" spans="1:6" ht="15.6" x14ac:dyDescent="0.3">
      <c r="A77" s="46" t="str">
        <f t="shared" si="1"/>
        <v/>
      </c>
      <c r="B77" s="308" t="str">
        <f>IF(A77="","",'s104 holdings'!C106)</f>
        <v/>
      </c>
      <c r="C77" s="190" t="str">
        <f>IF('s104 holdings'!K106&lt;&gt;0,-'s104 holdings'!K106,"")</f>
        <v/>
      </c>
      <c r="D77" s="117" t="str">
        <f>IF(C77="","",'s104 holdings'!O106)</f>
        <v/>
      </c>
      <c r="E77" s="309" t="str">
        <f>IF(D77="","",'s104 holdings'!P106)</f>
        <v/>
      </c>
    </row>
    <row r="78" spans="1:6" ht="15.6" x14ac:dyDescent="0.3">
      <c r="A78" s="46" t="str">
        <f>IF(C78="","","PA Consulting Group Limited Redeemable Shares")</f>
        <v/>
      </c>
      <c r="B78" s="310"/>
      <c r="C78" s="190" t="str">
        <f>IF(B13&lt;&gt;0,B13,"")</f>
        <v/>
      </c>
      <c r="D78" s="117" t="str">
        <f>IF(C78="","",B18)</f>
        <v/>
      </c>
      <c r="E78" s="309" t="str">
        <f>IF(D78="","",B27)</f>
        <v/>
      </c>
      <c r="F78" s="8" t="str">
        <f>IF(C78="","","This is your PACG Redeemable shares redeemed")</f>
        <v/>
      </c>
    </row>
    <row r="79" spans="1:6" ht="15.6" x14ac:dyDescent="0.3">
      <c r="A79" s="46" t="str">
        <f>IF('Ipex &amp; PACG Redeemable shares'!B9&lt;&gt;0,"Sale of Ipex Holdings Limited 10p Ordinary shares on liquidation","")</f>
        <v/>
      </c>
      <c r="B79" s="415" t="str">
        <f>IF(C79="","","18 Dec 2013")</f>
        <v/>
      </c>
      <c r="C79" s="190" t="str">
        <f>IF('Ipex &amp; PACG Redeemable shares'!B6&gt;0,'Ipex &amp; PACG Redeemable shares'!B6,"")</f>
        <v/>
      </c>
      <c r="D79" s="117" t="str">
        <f>IF('Ipex &amp; PACG Redeemable shares'!B9=0,"",'Ipex &amp; PACG Redeemable shares'!B9)</f>
        <v/>
      </c>
      <c r="E79" s="309">
        <f>IF('Ipex &amp; PACG Redeemable shares'!B9="","",'Ipex &amp; PACG Redeemable shares'!B9)</f>
        <v>0</v>
      </c>
      <c r="F79" s="8"/>
    </row>
    <row r="80" spans="1:6" ht="15.6" x14ac:dyDescent="0.3">
      <c r="A80" s="46" t="s">
        <v>63</v>
      </c>
      <c r="B80" s="310"/>
      <c r="C80" s="311"/>
      <c r="D80" s="312">
        <f>SUM(D69:D79)</f>
        <v>0</v>
      </c>
      <c r="E80" s="313">
        <f>SUM(E69:E79)</f>
        <v>0</v>
      </c>
    </row>
    <row r="81" spans="1:5" ht="16.2" thickBot="1" x14ac:dyDescent="0.35">
      <c r="A81" s="53"/>
      <c r="B81" s="314"/>
      <c r="C81" s="315"/>
      <c r="D81" s="316"/>
      <c r="E81" s="317"/>
    </row>
    <row r="82" spans="1:5" ht="16.2" thickBot="1" x14ac:dyDescent="0.35">
      <c r="A82" s="46"/>
      <c r="B82" s="310"/>
      <c r="C82" s="311"/>
      <c r="D82" s="329"/>
      <c r="E82" s="336"/>
    </row>
    <row r="83" spans="1:5" ht="15.6" x14ac:dyDescent="0.3">
      <c r="A83" s="274" t="s">
        <v>394</v>
      </c>
      <c r="B83" s="322"/>
      <c r="C83" s="323"/>
      <c r="D83" s="324"/>
      <c r="E83" s="325"/>
    </row>
    <row r="84" spans="1:5" ht="15.6" x14ac:dyDescent="0.3">
      <c r="A84" s="298" t="s">
        <v>393</v>
      </c>
      <c r="B84" s="318"/>
      <c r="C84" s="319"/>
      <c r="D84" s="320"/>
      <c r="E84" s="326"/>
    </row>
    <row r="85" spans="1:5" ht="16.2" thickBot="1" x14ac:dyDescent="0.35">
      <c r="A85" s="243" t="s">
        <v>73</v>
      </c>
      <c r="B85" s="310"/>
      <c r="C85" s="311"/>
      <c r="D85" s="329"/>
      <c r="E85" s="336"/>
    </row>
    <row r="86" spans="1:5" ht="16.2" thickBot="1" x14ac:dyDescent="0.35">
      <c r="A86" s="342" t="s">
        <v>74</v>
      </c>
      <c r="B86" s="310"/>
      <c r="C86" s="342" t="s">
        <v>76</v>
      </c>
      <c r="D86" s="342"/>
      <c r="E86" s="342"/>
    </row>
    <row r="87" spans="1:5" ht="16.2" thickBot="1" x14ac:dyDescent="0.35">
      <c r="A87" s="328" t="e">
        <f>B25+B26+B27</f>
        <v>#VALUE!</v>
      </c>
      <c r="B87" s="310"/>
      <c r="C87" s="679">
        <f>MAX(0,D32)</f>
        <v>0</v>
      </c>
      <c r="D87" s="679"/>
      <c r="E87" s="679"/>
    </row>
    <row r="88" spans="1:5" ht="16.2" thickBot="1" x14ac:dyDescent="0.35">
      <c r="A88" s="128"/>
      <c r="B88" s="310"/>
      <c r="C88" s="311"/>
      <c r="D88" s="329"/>
      <c r="E88" s="336"/>
    </row>
    <row r="89" spans="1:5" ht="16.2" thickBot="1" x14ac:dyDescent="0.35">
      <c r="A89" s="342" t="s">
        <v>260</v>
      </c>
      <c r="B89" s="310"/>
      <c r="C89" s="342" t="s">
        <v>78</v>
      </c>
      <c r="D89" s="342"/>
      <c r="E89" s="342"/>
    </row>
    <row r="90" spans="1:5" ht="16.2" thickBot="1" x14ac:dyDescent="0.35">
      <c r="A90" s="328" t="s">
        <v>80</v>
      </c>
      <c r="B90" s="310"/>
      <c r="C90" s="679" t="s">
        <v>80</v>
      </c>
      <c r="D90" s="679"/>
      <c r="E90" s="679"/>
    </row>
    <row r="91" spans="1:5" ht="16.2" thickBot="1" x14ac:dyDescent="0.35">
      <c r="A91" s="128"/>
      <c r="B91" s="310"/>
      <c r="C91" s="311"/>
      <c r="D91" s="329"/>
      <c r="E91" s="336"/>
    </row>
    <row r="92" spans="1:5" ht="16.2" thickBot="1" x14ac:dyDescent="0.35">
      <c r="A92" s="342" t="s">
        <v>256</v>
      </c>
      <c r="B92" s="310"/>
      <c r="C92" s="342" t="s">
        <v>329</v>
      </c>
      <c r="D92" s="342"/>
      <c r="E92" s="342"/>
    </row>
    <row r="93" spans="1:5" ht="16.2" thickBot="1" x14ac:dyDescent="0.35">
      <c r="A93" s="328">
        <f>-E79</f>
        <v>0</v>
      </c>
      <c r="B93" s="310"/>
      <c r="C93" s="679" t="s">
        <v>80</v>
      </c>
      <c r="D93" s="679"/>
      <c r="E93" s="679"/>
    </row>
    <row r="94" spans="1:5" ht="16.2" thickBot="1" x14ac:dyDescent="0.35">
      <c r="A94" s="128"/>
      <c r="B94" s="329"/>
      <c r="C94" s="110"/>
      <c r="D94" s="110"/>
      <c r="E94" s="51"/>
    </row>
    <row r="95" spans="1:5" ht="16.2" thickBot="1" x14ac:dyDescent="0.35">
      <c r="A95" s="342" t="s">
        <v>257</v>
      </c>
      <c r="B95" s="310"/>
      <c r="C95" s="342" t="s">
        <v>330</v>
      </c>
      <c r="D95" s="342"/>
      <c r="E95" s="342"/>
    </row>
    <row r="96" spans="1:5" ht="16.2" thickBot="1" x14ac:dyDescent="0.35">
      <c r="A96" s="328" t="e">
        <f>MIN(-#REF!,B30)</f>
        <v>#REF!</v>
      </c>
      <c r="B96" s="310"/>
      <c r="C96" s="679" t="s">
        <v>80</v>
      </c>
      <c r="D96" s="679"/>
      <c r="E96" s="679"/>
    </row>
    <row r="97" spans="1:5" ht="16.2" thickBot="1" x14ac:dyDescent="0.35">
      <c r="A97" s="128"/>
      <c r="B97" s="110"/>
      <c r="C97" s="110"/>
      <c r="D97" s="110"/>
      <c r="E97" s="51"/>
    </row>
    <row r="98" spans="1:5" ht="16.2" thickBot="1" x14ac:dyDescent="0.35">
      <c r="A98" s="342" t="s">
        <v>270</v>
      </c>
      <c r="B98" s="310"/>
      <c r="C98" s="342" t="s">
        <v>331</v>
      </c>
      <c r="D98" s="342"/>
      <c r="E98" s="342"/>
    </row>
    <row r="99" spans="1:5" ht="16.2" thickBot="1" x14ac:dyDescent="0.35">
      <c r="A99" s="328" t="s">
        <v>80</v>
      </c>
      <c r="B99" s="310"/>
      <c r="C99" s="679" t="s">
        <v>80</v>
      </c>
      <c r="D99" s="679"/>
      <c r="E99" s="679"/>
    </row>
    <row r="100" spans="1:5" ht="16.2" thickBot="1" x14ac:dyDescent="0.35">
      <c r="A100" s="128"/>
      <c r="B100" s="110"/>
      <c r="C100" s="110"/>
      <c r="D100" s="110"/>
      <c r="E100" s="51"/>
    </row>
    <row r="101" spans="1:5" ht="16.2" thickBot="1" x14ac:dyDescent="0.35">
      <c r="A101" s="342" t="s">
        <v>85</v>
      </c>
      <c r="B101" s="310"/>
      <c r="C101" s="342" t="s">
        <v>336</v>
      </c>
      <c r="D101" s="342"/>
      <c r="E101" s="342"/>
    </row>
    <row r="102" spans="1:5" ht="16.2" thickBot="1" x14ac:dyDescent="0.35">
      <c r="A102" s="328" t="s">
        <v>80</v>
      </c>
      <c r="B102" s="310"/>
      <c r="C102" s="679" t="s">
        <v>80</v>
      </c>
      <c r="D102" s="679"/>
      <c r="E102" s="679"/>
    </row>
    <row r="103" spans="1:5" ht="16.2" thickBot="1" x14ac:dyDescent="0.35">
      <c r="A103" s="147"/>
      <c r="B103" s="337"/>
      <c r="C103" s="148"/>
      <c r="D103" s="148"/>
      <c r="E103" s="150"/>
    </row>
    <row r="104" spans="1:5" ht="16.2" thickBot="1" x14ac:dyDescent="0.35">
      <c r="A104" s="25"/>
      <c r="B104" s="318"/>
      <c r="C104" s="25"/>
      <c r="D104" s="25"/>
      <c r="E104" s="25"/>
    </row>
    <row r="105" spans="1:5" ht="15.6" x14ac:dyDescent="0.3">
      <c r="A105" s="274" t="s">
        <v>395</v>
      </c>
      <c r="B105" s="111"/>
      <c r="C105" s="111"/>
      <c r="D105" s="111"/>
      <c r="E105" s="159"/>
    </row>
    <row r="106" spans="1:5" ht="24" thickBot="1" x14ac:dyDescent="0.5">
      <c r="A106" s="243" t="s">
        <v>411</v>
      </c>
      <c r="B106" s="318"/>
      <c r="C106" s="112"/>
      <c r="D106" s="112"/>
      <c r="E106" s="51"/>
    </row>
    <row r="107" spans="1:5" ht="16.2" thickBot="1" x14ac:dyDescent="0.35">
      <c r="A107" s="342" t="s">
        <v>64</v>
      </c>
      <c r="B107" s="318"/>
      <c r="C107" s="343" t="s">
        <v>66</v>
      </c>
      <c r="D107" s="344"/>
      <c r="E107" s="345"/>
    </row>
    <row r="108" spans="1:5" ht="16.2" thickBot="1" x14ac:dyDescent="0.35">
      <c r="A108" s="327">
        <f>COUNT(C69:C79)</f>
        <v>0</v>
      </c>
      <c r="B108" s="318"/>
      <c r="C108" s="678">
        <f>MAX(0,ROUNDDOWN(E80,0))</f>
        <v>0</v>
      </c>
      <c r="D108" s="678"/>
      <c r="E108" s="678"/>
    </row>
    <row r="109" spans="1:5" ht="16.2" thickBot="1" x14ac:dyDescent="0.35">
      <c r="A109" s="128"/>
      <c r="B109" s="320"/>
      <c r="C109" s="319"/>
      <c r="D109" s="320"/>
      <c r="E109" s="336"/>
    </row>
    <row r="110" spans="1:5" ht="16.2" thickBot="1" x14ac:dyDescent="0.35">
      <c r="A110" s="342" t="s">
        <v>67</v>
      </c>
      <c r="B110" s="318"/>
      <c r="C110" s="342" t="s">
        <v>68</v>
      </c>
      <c r="D110" s="342"/>
      <c r="E110" s="342"/>
    </row>
    <row r="111" spans="1:5" ht="16.2" thickBot="1" x14ac:dyDescent="0.35">
      <c r="A111" s="328">
        <f>ROUNDDOWN(D80,0)</f>
        <v>0</v>
      </c>
      <c r="B111" s="318"/>
      <c r="C111" s="679" t="s">
        <v>69</v>
      </c>
      <c r="D111" s="679"/>
      <c r="E111" s="679"/>
    </row>
    <row r="112" spans="1:5" ht="16.2" thickBot="1" x14ac:dyDescent="0.35">
      <c r="A112" s="128"/>
      <c r="B112" s="320"/>
      <c r="C112" s="319"/>
      <c r="D112" s="320"/>
      <c r="E112" s="336"/>
    </row>
    <row r="113" spans="1:5" ht="16.2" thickBot="1" x14ac:dyDescent="0.35">
      <c r="A113" s="342" t="s">
        <v>70</v>
      </c>
      <c r="B113" s="318"/>
      <c r="C113" s="342" t="s">
        <v>71</v>
      </c>
      <c r="D113" s="342"/>
      <c r="E113" s="342"/>
    </row>
    <row r="114" spans="1:5" ht="16.2" thickBot="1" x14ac:dyDescent="0.35">
      <c r="A114" s="328">
        <f>D80-E80</f>
        <v>0</v>
      </c>
      <c r="B114" s="318"/>
      <c r="C114" s="679" t="s">
        <v>69</v>
      </c>
      <c r="D114" s="679"/>
      <c r="E114" s="679"/>
    </row>
    <row r="115" spans="1:5" ht="16.2" thickBot="1" x14ac:dyDescent="0.35">
      <c r="A115" s="147"/>
      <c r="B115" s="148"/>
      <c r="C115" s="148"/>
      <c r="D115" s="148"/>
      <c r="E115" s="150"/>
    </row>
    <row r="116" spans="1:5" ht="15.6" x14ac:dyDescent="0.3">
      <c r="A116" s="25"/>
      <c r="B116" s="25"/>
      <c r="C116" s="25"/>
      <c r="D116" s="25"/>
      <c r="E116" s="25"/>
    </row>
    <row r="117" spans="1:5" ht="15.6" x14ac:dyDescent="0.3">
      <c r="A117" s="25"/>
      <c r="B117" s="25"/>
      <c r="C117" s="25"/>
      <c r="D117" s="25"/>
      <c r="E117" s="25"/>
    </row>
    <row r="118" spans="1:5" ht="15.6" x14ac:dyDescent="0.3">
      <c r="A118" s="25"/>
      <c r="B118" s="25"/>
      <c r="C118" s="25"/>
      <c r="D118" s="25"/>
      <c r="E118" s="25"/>
    </row>
    <row r="119" spans="1:5" ht="15.6" x14ac:dyDescent="0.3">
      <c r="A119" s="25"/>
      <c r="B119" s="25"/>
      <c r="C119" s="25"/>
      <c r="D119" s="25"/>
      <c r="E119" s="25"/>
    </row>
    <row r="120" spans="1:5" ht="15.6" x14ac:dyDescent="0.3">
      <c r="A120" s="25"/>
      <c r="B120" s="25"/>
      <c r="C120" s="25"/>
      <c r="D120" s="25"/>
      <c r="E120" s="25"/>
    </row>
    <row r="121" spans="1:5" ht="15.6" x14ac:dyDescent="0.3">
      <c r="A121" s="25"/>
      <c r="B121" s="25"/>
      <c r="C121" s="25"/>
      <c r="D121" s="25"/>
      <c r="E121" s="25"/>
    </row>
    <row r="122" spans="1:5" ht="15.6" x14ac:dyDescent="0.3">
      <c r="A122" s="25"/>
      <c r="B122" s="25"/>
      <c r="C122" s="25"/>
      <c r="D122" s="25"/>
      <c r="E122" s="25"/>
    </row>
    <row r="123" spans="1:5" ht="15.6" x14ac:dyDescent="0.3">
      <c r="A123" s="25"/>
      <c r="B123" s="25"/>
      <c r="C123" s="25"/>
      <c r="D123" s="25"/>
      <c r="E123" s="25"/>
    </row>
    <row r="124" spans="1:5" ht="15.6" x14ac:dyDescent="0.3">
      <c r="A124" s="25"/>
      <c r="B124" s="25"/>
      <c r="C124" s="25"/>
      <c r="D124" s="25"/>
      <c r="E124" s="25"/>
    </row>
    <row r="125" spans="1:5" ht="15.6" x14ac:dyDescent="0.3">
      <c r="A125" s="25"/>
      <c r="B125" s="25"/>
      <c r="C125" s="25"/>
      <c r="D125" s="25"/>
      <c r="E125" s="25"/>
    </row>
    <row r="126" spans="1:5" ht="15.6" x14ac:dyDescent="0.3">
      <c r="A126" s="25"/>
      <c r="B126" s="25"/>
      <c r="C126" s="25"/>
      <c r="D126" s="25"/>
      <c r="E126" s="25"/>
    </row>
    <row r="127" spans="1:5" ht="15.6" x14ac:dyDescent="0.3">
      <c r="A127" s="25"/>
      <c r="B127" s="25"/>
      <c r="C127" s="25"/>
      <c r="D127" s="25"/>
      <c r="E127" s="25"/>
    </row>
    <row r="128" spans="1:5" ht="15.6" x14ac:dyDescent="0.3">
      <c r="A128" s="25"/>
      <c r="B128" s="25"/>
      <c r="C128" s="25"/>
      <c r="D128" s="25"/>
      <c r="E128" s="25"/>
    </row>
    <row r="129" spans="1:5" ht="15.6" x14ac:dyDescent="0.3">
      <c r="A129" s="25"/>
      <c r="B129" s="25"/>
      <c r="C129" s="25"/>
      <c r="D129" s="25"/>
      <c r="E129" s="25"/>
    </row>
    <row r="130" spans="1:5" ht="15.6" x14ac:dyDescent="0.3">
      <c r="A130" s="25"/>
      <c r="B130" s="25"/>
      <c r="C130" s="25"/>
      <c r="D130" s="25"/>
      <c r="E130" s="25"/>
    </row>
    <row r="131" spans="1:5" ht="15.6" x14ac:dyDescent="0.3">
      <c r="A131" s="25"/>
      <c r="B131" s="25"/>
      <c r="C131" s="25"/>
      <c r="D131" s="25"/>
      <c r="E131" s="25"/>
    </row>
    <row r="132" spans="1:5" ht="15.6" x14ac:dyDescent="0.3">
      <c r="A132" s="25"/>
      <c r="B132" s="25"/>
      <c r="C132" s="25"/>
      <c r="D132" s="25"/>
      <c r="E132" s="25"/>
    </row>
    <row r="133" spans="1:5" ht="15.6" x14ac:dyDescent="0.3">
      <c r="A133" s="25"/>
      <c r="B133" s="25"/>
      <c r="C133" s="25"/>
      <c r="D133" s="25"/>
      <c r="E133" s="25"/>
    </row>
    <row r="134" spans="1:5" ht="15.6" x14ac:dyDescent="0.3">
      <c r="A134" s="25"/>
      <c r="B134" s="25"/>
      <c r="C134" s="25"/>
      <c r="D134" s="25"/>
      <c r="E134" s="25"/>
    </row>
    <row r="135" spans="1:5" ht="15.6" x14ac:dyDescent="0.3">
      <c r="A135" s="25"/>
      <c r="B135" s="25"/>
      <c r="C135" s="25"/>
      <c r="D135" s="25"/>
      <c r="E135" s="25"/>
    </row>
    <row r="136" spans="1:5" ht="15.6" x14ac:dyDescent="0.3">
      <c r="A136" s="25"/>
      <c r="B136" s="25"/>
      <c r="C136" s="25"/>
      <c r="D136" s="25"/>
      <c r="E136" s="25"/>
    </row>
    <row r="137" spans="1:5" ht="15.6" x14ac:dyDescent="0.3">
      <c r="A137" s="25"/>
      <c r="B137" s="25"/>
      <c r="C137" s="25"/>
      <c r="D137" s="25"/>
      <c r="E137" s="25"/>
    </row>
    <row r="138" spans="1:5" ht="15.6" x14ac:dyDescent="0.3">
      <c r="A138" s="25"/>
      <c r="B138" s="25"/>
      <c r="C138" s="25"/>
      <c r="D138" s="25"/>
      <c r="E138" s="25"/>
    </row>
    <row r="139" spans="1:5" ht="15.6" x14ac:dyDescent="0.3">
      <c r="A139" s="25"/>
      <c r="B139" s="25"/>
      <c r="C139" s="25"/>
      <c r="D139" s="25"/>
      <c r="E139" s="25"/>
    </row>
    <row r="140" spans="1:5" ht="15.6" x14ac:dyDescent="0.3">
      <c r="A140" s="25"/>
      <c r="B140" s="25"/>
      <c r="C140" s="25"/>
      <c r="D140" s="25"/>
      <c r="E140" s="25"/>
    </row>
    <row r="141" spans="1:5" ht="15.6" x14ac:dyDescent="0.3">
      <c r="A141" s="25"/>
      <c r="B141" s="25"/>
      <c r="C141" s="25"/>
      <c r="D141" s="25"/>
      <c r="E141" s="25"/>
    </row>
    <row r="142" spans="1:5" ht="15.6" x14ac:dyDescent="0.3">
      <c r="A142" s="25"/>
      <c r="B142" s="25"/>
      <c r="C142" s="25"/>
      <c r="D142" s="25"/>
      <c r="E142" s="25"/>
    </row>
    <row r="143" spans="1:5" ht="15.6" x14ac:dyDescent="0.3">
      <c r="A143" s="25"/>
      <c r="B143" s="25"/>
      <c r="C143" s="25"/>
      <c r="D143" s="25"/>
      <c r="E143" s="25"/>
    </row>
    <row r="144" spans="1:5" ht="15.6" x14ac:dyDescent="0.3">
      <c r="A144" s="25"/>
      <c r="B144" s="25"/>
      <c r="C144" s="25"/>
      <c r="D144" s="25"/>
      <c r="E144" s="25"/>
    </row>
    <row r="145" spans="1:5" ht="15.6" x14ac:dyDescent="0.3">
      <c r="A145" s="25"/>
      <c r="B145" s="25"/>
      <c r="C145" s="25"/>
      <c r="D145" s="25"/>
      <c r="E145" s="25"/>
    </row>
    <row r="146" spans="1:5" ht="15.6" x14ac:dyDescent="0.3">
      <c r="A146" s="25"/>
      <c r="B146" s="25"/>
      <c r="C146" s="25"/>
      <c r="D146" s="25"/>
      <c r="E146" s="25"/>
    </row>
    <row r="147" spans="1:5" ht="15.6" x14ac:dyDescent="0.3">
      <c r="A147" s="25"/>
      <c r="B147" s="25"/>
      <c r="C147" s="25"/>
      <c r="D147" s="25"/>
      <c r="E147" s="25"/>
    </row>
    <row r="148" spans="1:5" ht="15.6" x14ac:dyDescent="0.3">
      <c r="A148" s="25"/>
      <c r="B148" s="25"/>
      <c r="C148" s="25"/>
      <c r="D148" s="25"/>
      <c r="E148" s="25"/>
    </row>
    <row r="149" spans="1:5" ht="15.6" x14ac:dyDescent="0.3">
      <c r="A149" s="25"/>
      <c r="B149" s="25"/>
      <c r="C149" s="25"/>
      <c r="D149" s="25"/>
      <c r="E149" s="25"/>
    </row>
    <row r="150" spans="1:5" ht="15.6" x14ac:dyDescent="0.3">
      <c r="A150" s="25"/>
      <c r="B150" s="25"/>
      <c r="C150" s="25"/>
      <c r="D150" s="25"/>
      <c r="E150" s="25"/>
    </row>
    <row r="151" spans="1:5" ht="15.6" x14ac:dyDescent="0.3">
      <c r="A151" s="25"/>
      <c r="B151" s="25"/>
      <c r="C151" s="25"/>
      <c r="D151" s="25"/>
      <c r="E151" s="25"/>
    </row>
    <row r="152" spans="1:5" ht="15.6" x14ac:dyDescent="0.3">
      <c r="A152" s="25"/>
      <c r="B152" s="25"/>
      <c r="C152" s="25"/>
      <c r="D152" s="25"/>
      <c r="E152" s="25"/>
    </row>
    <row r="153" spans="1:5" ht="15.6" x14ac:dyDescent="0.3">
      <c r="A153" s="25"/>
      <c r="B153" s="25"/>
      <c r="C153" s="25"/>
      <c r="D153" s="25"/>
      <c r="E153" s="25"/>
    </row>
    <row r="154" spans="1:5" ht="15.6" x14ac:dyDescent="0.3">
      <c r="A154" s="25"/>
      <c r="B154" s="25"/>
      <c r="C154" s="25"/>
      <c r="D154" s="25"/>
      <c r="E154" s="25"/>
    </row>
    <row r="155" spans="1:5" ht="15.6" x14ac:dyDescent="0.3">
      <c r="A155" s="25"/>
      <c r="B155" s="25"/>
      <c r="C155" s="25"/>
      <c r="D155" s="25"/>
      <c r="E155" s="25"/>
    </row>
    <row r="156" spans="1:5" ht="15.6" x14ac:dyDescent="0.3">
      <c r="A156" s="25"/>
      <c r="B156" s="25"/>
      <c r="C156" s="25"/>
      <c r="D156" s="25"/>
      <c r="E156" s="25"/>
    </row>
    <row r="157" spans="1:5" ht="15.6" x14ac:dyDescent="0.3">
      <c r="A157" s="25"/>
      <c r="B157" s="25"/>
      <c r="C157" s="25"/>
      <c r="D157" s="25"/>
      <c r="E157" s="25"/>
    </row>
    <row r="158" spans="1:5" ht="15.6" x14ac:dyDescent="0.3">
      <c r="A158" s="25"/>
      <c r="B158" s="25"/>
      <c r="C158" s="25"/>
      <c r="D158" s="25"/>
      <c r="E158" s="25"/>
    </row>
    <row r="159" spans="1:5" ht="15.6" x14ac:dyDescent="0.3">
      <c r="A159" s="25"/>
      <c r="B159" s="25"/>
      <c r="C159" s="25"/>
      <c r="D159" s="25"/>
      <c r="E159" s="25"/>
    </row>
    <row r="160" spans="1:5" ht="15.6" x14ac:dyDescent="0.3">
      <c r="A160" s="25"/>
      <c r="B160" s="25"/>
      <c r="C160" s="25"/>
      <c r="D160" s="25"/>
      <c r="E160" s="25"/>
    </row>
    <row r="161" spans="1:5" ht="15.6" x14ac:dyDescent="0.3">
      <c r="A161" s="25"/>
      <c r="B161" s="25"/>
      <c r="C161" s="25"/>
      <c r="D161" s="25"/>
      <c r="E161" s="25"/>
    </row>
    <row r="162" spans="1:5" ht="15.6" x14ac:dyDescent="0.3">
      <c r="A162" s="25"/>
      <c r="B162" s="25"/>
      <c r="C162" s="25"/>
      <c r="D162" s="25"/>
      <c r="E162" s="25"/>
    </row>
    <row r="163" spans="1:5" ht="15.6" x14ac:dyDescent="0.3">
      <c r="A163" s="25"/>
      <c r="B163" s="25"/>
      <c r="C163" s="25"/>
      <c r="D163" s="25"/>
      <c r="E163" s="25"/>
    </row>
    <row r="164" spans="1:5" ht="15.6" x14ac:dyDescent="0.3">
      <c r="A164" s="25"/>
      <c r="B164" s="25"/>
      <c r="C164" s="25"/>
      <c r="D164" s="25"/>
      <c r="E164" s="25"/>
    </row>
    <row r="165" spans="1:5" ht="15.6" x14ac:dyDescent="0.3">
      <c r="A165" s="25"/>
      <c r="B165" s="25"/>
      <c r="C165" s="25"/>
      <c r="D165" s="25"/>
      <c r="E165" s="25"/>
    </row>
    <row r="166" spans="1:5" ht="15.6" x14ac:dyDescent="0.3">
      <c r="A166" s="25"/>
      <c r="B166" s="25"/>
      <c r="C166" s="25"/>
      <c r="D166" s="25"/>
      <c r="E166" s="25"/>
    </row>
    <row r="167" spans="1:5" ht="15.6" x14ac:dyDescent="0.3">
      <c r="A167" s="25"/>
      <c r="B167" s="25"/>
      <c r="C167" s="25"/>
      <c r="D167" s="25"/>
      <c r="E167" s="25"/>
    </row>
  </sheetData>
  <mergeCells count="21">
    <mergeCell ref="C108:E108"/>
    <mergeCell ref="C111:E111"/>
    <mergeCell ref="C114:E114"/>
    <mergeCell ref="C87:E87"/>
    <mergeCell ref="C90:E90"/>
    <mergeCell ref="C93:E93"/>
    <mergeCell ref="C96:E96"/>
    <mergeCell ref="C99:E99"/>
    <mergeCell ref="C102:E102"/>
    <mergeCell ref="A38:E38"/>
    <mergeCell ref="A40:E40"/>
    <mergeCell ref="B53:D53"/>
    <mergeCell ref="B54:D54"/>
    <mergeCell ref="B55:D55"/>
    <mergeCell ref="B61:D61"/>
    <mergeCell ref="B62:D62"/>
    <mergeCell ref="B56:D56"/>
    <mergeCell ref="B57:D57"/>
    <mergeCell ref="B58:D58"/>
    <mergeCell ref="B59:D59"/>
    <mergeCell ref="B60:D60"/>
  </mergeCells>
  <dataValidations count="2">
    <dataValidation type="list" allowBlank="1" showInputMessage="1" showErrorMessage="1" sqref="C11" xr:uid="{00000000-0002-0000-0700-000000000000}">
      <formula1>#REF!</formula1>
    </dataValidation>
    <dataValidation allowBlank="1" showInputMessage="1" showErrorMessage="1" promptTitle="Enter as negative number" sqref="D31:D32" xr:uid="{00000000-0002-0000-0700-000001000000}"/>
  </dataValidations>
  <pageMargins left="0.70866141732283472" right="0.70866141732283472" top="0.74803149606299213" bottom="0.74803149606299213" header="0.31496062992125984" footer="0.31496062992125984"/>
  <pageSetup paperSize="9" scale="7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131"/>
  <sheetViews>
    <sheetView zoomScaleNormal="100" zoomScaleSheetLayoutView="100" workbookViewId="0"/>
  </sheetViews>
  <sheetFormatPr defaultRowHeight="13.2" x14ac:dyDescent="0.25"/>
  <cols>
    <col min="1" max="1" width="59.5546875" customWidth="1"/>
    <col min="2" max="2" width="20" customWidth="1"/>
    <col min="3" max="3" width="23.33203125" customWidth="1"/>
    <col min="4" max="4" width="20.5546875" customWidth="1"/>
    <col min="5" max="5" width="53.6640625" customWidth="1"/>
    <col min="6" max="6" width="35.88671875" hidden="1" customWidth="1"/>
    <col min="7" max="7" width="13.5546875" bestFit="1" customWidth="1"/>
    <col min="8" max="8" width="0" hidden="1" customWidth="1"/>
    <col min="9" max="10" width="9.109375" hidden="1" customWidth="1"/>
    <col min="11" max="13" width="0" hidden="1" customWidth="1"/>
  </cols>
  <sheetData>
    <row r="1" spans="1:12" ht="21" x14ac:dyDescent="0.4">
      <c r="A1" s="101" t="s">
        <v>253</v>
      </c>
      <c r="B1" s="25"/>
      <c r="C1" s="25"/>
      <c r="D1" s="25"/>
      <c r="E1" s="25"/>
    </row>
    <row r="2" spans="1:12" ht="16.2" thickBot="1" x14ac:dyDescent="0.35">
      <c r="A2" s="21"/>
      <c r="B2" s="25"/>
      <c r="C2" s="25"/>
      <c r="D2" s="25"/>
      <c r="E2" s="25"/>
    </row>
    <row r="3" spans="1:12" ht="15.6" x14ac:dyDescent="0.3">
      <c r="A3" s="197" t="s">
        <v>114</v>
      </c>
      <c r="B3" s="202"/>
      <c r="C3" s="202"/>
      <c r="D3" s="202"/>
      <c r="E3" s="203"/>
    </row>
    <row r="4" spans="1:12" ht="15.6" x14ac:dyDescent="0.3">
      <c r="A4" s="223" t="s">
        <v>231</v>
      </c>
      <c r="B4" s="238"/>
      <c r="C4" s="238"/>
      <c r="D4" s="238"/>
      <c r="E4" s="220"/>
    </row>
    <row r="5" spans="1:12" ht="21.6" thickBot="1" x14ac:dyDescent="0.45">
      <c r="A5" s="338" t="s">
        <v>362</v>
      </c>
      <c r="B5" s="226"/>
      <c r="C5" s="339"/>
      <c r="D5" s="226"/>
      <c r="E5" s="227"/>
    </row>
    <row r="6" spans="1:12" ht="16.2" thickBot="1" x14ac:dyDescent="0.35">
      <c r="A6" s="21"/>
      <c r="B6" s="25"/>
      <c r="C6" s="25"/>
      <c r="D6" s="25"/>
      <c r="E6" s="25"/>
      <c r="F6" s="346"/>
      <c r="G6" s="346"/>
    </row>
    <row r="7" spans="1:12" ht="15.6" x14ac:dyDescent="0.3">
      <c r="A7" s="274" t="s">
        <v>363</v>
      </c>
      <c r="B7" s="111"/>
      <c r="C7" s="111"/>
      <c r="D7" s="111"/>
      <c r="E7" s="159"/>
      <c r="F7" s="346"/>
      <c r="G7" s="346"/>
    </row>
    <row r="8" spans="1:12" ht="15.6" x14ac:dyDescent="0.3">
      <c r="A8" s="243"/>
      <c r="B8" s="112"/>
      <c r="C8" s="112"/>
      <c r="D8" s="112"/>
      <c r="E8" s="129"/>
      <c r="F8" s="346"/>
      <c r="G8" s="346"/>
    </row>
    <row r="9" spans="1:12" ht="15.6" x14ac:dyDescent="0.3">
      <c r="A9" s="275" t="s">
        <v>272</v>
      </c>
      <c r="B9" s="288" t="s">
        <v>39</v>
      </c>
      <c r="C9" s="288" t="s">
        <v>37</v>
      </c>
      <c r="D9" s="288" t="s">
        <v>38</v>
      </c>
      <c r="E9" s="129"/>
      <c r="F9" s="346"/>
      <c r="G9" s="346"/>
    </row>
    <row r="10" spans="1:12" ht="124.8" x14ac:dyDescent="0.3">
      <c r="A10" s="289" t="s">
        <v>282</v>
      </c>
      <c r="B10" s="290"/>
      <c r="C10" s="246"/>
      <c r="D10" s="244" t="str">
        <f>IF(B10*C10&gt;0,B10*C10,"")</f>
        <v/>
      </c>
      <c r="E10" s="291" t="s">
        <v>326</v>
      </c>
      <c r="F10" s="346"/>
      <c r="G10" s="346"/>
      <c r="I10">
        <v>4.26</v>
      </c>
      <c r="J10">
        <v>2.88</v>
      </c>
      <c r="K10">
        <v>5.08</v>
      </c>
      <c r="L10">
        <v>3.7</v>
      </c>
    </row>
    <row r="11" spans="1:12" ht="15.6" x14ac:dyDescent="0.3">
      <c r="A11" s="114"/>
      <c r="B11" s="292"/>
      <c r="C11" s="244"/>
      <c r="D11" s="244"/>
      <c r="E11" s="293"/>
      <c r="F11" s="346"/>
      <c r="G11" s="346"/>
    </row>
    <row r="12" spans="1:12" ht="15.6" x14ac:dyDescent="0.3">
      <c r="A12" s="275" t="s">
        <v>316</v>
      </c>
      <c r="B12" s="288" t="s">
        <v>278</v>
      </c>
      <c r="C12" s="288"/>
      <c r="D12" s="288" t="s">
        <v>38</v>
      </c>
      <c r="E12" s="129"/>
      <c r="F12" s="346"/>
      <c r="G12" s="346"/>
    </row>
    <row r="13" spans="1:12" ht="31.2" x14ac:dyDescent="0.3">
      <c r="A13" s="289" t="s">
        <v>317</v>
      </c>
      <c r="B13" s="292">
        <f>'Ipex &amp; PACG Redeemable shares'!E18</f>
        <v>0</v>
      </c>
      <c r="C13" s="244"/>
      <c r="D13" s="244">
        <f>'Ipex &amp; PACG Redeemable shares'!C30</f>
        <v>0</v>
      </c>
      <c r="E13" s="291" t="s">
        <v>315</v>
      </c>
      <c r="F13" s="346"/>
      <c r="G13" s="346"/>
    </row>
    <row r="14" spans="1:12" ht="15.6" x14ac:dyDescent="0.3">
      <c r="A14" s="128"/>
      <c r="B14" s="112"/>
      <c r="C14" s="112"/>
      <c r="D14" s="112"/>
      <c r="E14" s="129"/>
      <c r="F14" s="346"/>
      <c r="G14" s="346"/>
    </row>
    <row r="15" spans="1:12" ht="15.6" x14ac:dyDescent="0.3">
      <c r="A15" s="275" t="s">
        <v>91</v>
      </c>
      <c r="B15" s="288" t="s">
        <v>104</v>
      </c>
      <c r="C15" s="112"/>
      <c r="D15" s="112"/>
      <c r="E15" s="129"/>
      <c r="F15" s="346"/>
      <c r="G15" s="346"/>
    </row>
    <row r="16" spans="1:12" ht="15.9" customHeight="1" x14ac:dyDescent="0.3">
      <c r="A16" s="128" t="s">
        <v>102</v>
      </c>
      <c r="B16" s="244">
        <f>SUM('s104 holdings'!O74:O90)</f>
        <v>0</v>
      </c>
      <c r="C16" s="112"/>
      <c r="D16" s="112"/>
      <c r="E16" s="129"/>
      <c r="F16" s="346"/>
      <c r="G16" s="346"/>
    </row>
    <row r="17" spans="1:7" ht="15.9" customHeight="1" x14ac:dyDescent="0.3">
      <c r="A17" s="128" t="str">
        <f>IF(B10&gt;0,"From 2007/2008 PA Option exercise of "&amp;B10&amp;" shares","")</f>
        <v/>
      </c>
      <c r="B17" s="244" t="str">
        <f>IF(B10&gt;0,B10*(C10+5.5),"")</f>
        <v/>
      </c>
      <c r="C17" s="112"/>
      <c r="D17" s="112"/>
      <c r="E17" s="129"/>
      <c r="F17" s="346"/>
      <c r="G17" s="346"/>
    </row>
    <row r="18" spans="1:7" ht="15.9" customHeight="1" x14ac:dyDescent="0.3">
      <c r="A18" s="128" t="str">
        <f>IF(B13&gt;0,"From redemption of "&amp;B13&amp;" PA redeemable shares","")</f>
        <v/>
      </c>
      <c r="B18" s="244">
        <f>'Ipex &amp; PACG Redeemable shares'!B30</f>
        <v>0</v>
      </c>
      <c r="C18" s="112"/>
      <c r="D18" s="112"/>
      <c r="E18" s="129"/>
      <c r="F18" s="346"/>
      <c r="G18" s="346"/>
    </row>
    <row r="19" spans="1:7" ht="15.9" customHeight="1" x14ac:dyDescent="0.3">
      <c r="A19" s="128" t="s">
        <v>103</v>
      </c>
      <c r="B19" s="294"/>
      <c r="C19" s="112"/>
      <c r="D19" s="112"/>
      <c r="E19" s="129"/>
      <c r="F19" s="346"/>
      <c r="G19" s="346"/>
    </row>
    <row r="20" spans="1:7" ht="15.9" customHeight="1" x14ac:dyDescent="0.3">
      <c r="A20" s="243" t="s">
        <v>41</v>
      </c>
      <c r="B20" s="295">
        <f>SUM(B16:B19)</f>
        <v>0</v>
      </c>
      <c r="C20" s="112"/>
      <c r="D20" s="112"/>
      <c r="E20" s="129"/>
      <c r="F20" s="346"/>
      <c r="G20" s="346"/>
    </row>
    <row r="21" spans="1:7" ht="15.9" customHeight="1" x14ac:dyDescent="0.3">
      <c r="A21" s="128" t="s">
        <v>232</v>
      </c>
      <c r="B21" s="340" t="str">
        <f>IF(B20&gt;42400,"Yes, you are required to report your disposal on your tax return","No, only required to report if taxable gains more than £10,600 or elections to be made")</f>
        <v>No, only required to report if taxable gains more than £10,600 or elections to be made</v>
      </c>
      <c r="C21" s="112"/>
      <c r="D21" s="112"/>
      <c r="E21" s="129"/>
      <c r="F21" s="346"/>
      <c r="G21" s="346"/>
    </row>
    <row r="22" spans="1:7" ht="15.6" x14ac:dyDescent="0.3">
      <c r="A22" s="128"/>
      <c r="B22" s="112"/>
      <c r="C22" s="112"/>
      <c r="D22" s="112"/>
      <c r="E22" s="129"/>
      <c r="F22" s="346"/>
      <c r="G22" s="346"/>
    </row>
    <row r="23" spans="1:7" ht="15.6" x14ac:dyDescent="0.3">
      <c r="A23" s="128"/>
      <c r="B23" s="112"/>
      <c r="C23" s="112"/>
      <c r="D23" s="112"/>
      <c r="E23" s="129"/>
      <c r="F23" s="346"/>
      <c r="G23" s="346"/>
    </row>
    <row r="24" spans="1:7" ht="15.6" x14ac:dyDescent="0.3">
      <c r="A24" s="275" t="s">
        <v>418</v>
      </c>
      <c r="B24" s="288" t="s">
        <v>419</v>
      </c>
      <c r="C24" s="112"/>
      <c r="D24" s="112"/>
      <c r="E24" s="129"/>
      <c r="F24" s="346"/>
      <c r="G24" s="346"/>
    </row>
    <row r="25" spans="1:7" ht="15.9" customHeight="1" x14ac:dyDescent="0.3">
      <c r="A25" s="128" t="str">
        <f>A16</f>
        <v>From PA share sales per s104 Holdings sheet</v>
      </c>
      <c r="B25" s="244">
        <f>SUM('s104 holdings'!P74:P90)</f>
        <v>0</v>
      </c>
      <c r="C25" s="112"/>
      <c r="D25" s="112"/>
      <c r="E25" s="129"/>
      <c r="F25" s="346"/>
      <c r="G25" s="346"/>
    </row>
    <row r="26" spans="1:7" ht="15.9" customHeight="1" x14ac:dyDescent="0.3">
      <c r="A26" s="128" t="str">
        <f>IF(A17&lt;&gt;"","Gain on above PA share option exercise","")</f>
        <v/>
      </c>
      <c r="B26" s="244" t="str">
        <f>IF(D10&gt;0,D10,"")</f>
        <v/>
      </c>
      <c r="C26" s="112"/>
      <c r="D26" s="112"/>
      <c r="E26" s="129"/>
      <c r="F26" s="346"/>
      <c r="G26" s="346"/>
    </row>
    <row r="27" spans="1:7" ht="15.9" customHeight="1" x14ac:dyDescent="0.3">
      <c r="A27" s="128" t="str">
        <f>IF(A18&lt;&gt;"","Gain on above PACG2 share option redemption","")</f>
        <v/>
      </c>
      <c r="B27" s="244" t="str">
        <f>IF(D13&gt;0,D13,"")</f>
        <v/>
      </c>
      <c r="C27" s="112"/>
      <c r="D27" s="112"/>
      <c r="E27" s="129"/>
      <c r="F27" s="346"/>
      <c r="G27" s="346"/>
    </row>
    <row r="28" spans="1:7" ht="15.9" customHeight="1" x14ac:dyDescent="0.3">
      <c r="A28" s="128" t="str">
        <f>A19</f>
        <v>Any non-PA chargeable sales you made</v>
      </c>
      <c r="B28" s="294"/>
      <c r="C28" s="112"/>
      <c r="D28" s="112"/>
      <c r="E28" s="129"/>
      <c r="F28" s="346"/>
      <c r="G28" s="346"/>
    </row>
    <row r="29" spans="1:7" ht="15.9" customHeight="1" x14ac:dyDescent="0.3">
      <c r="A29" s="243" t="s">
        <v>36</v>
      </c>
      <c r="B29" s="295">
        <f>SUM(B25:B28)</f>
        <v>0</v>
      </c>
      <c r="C29" s="112"/>
      <c r="D29" s="112"/>
      <c r="E29" s="129"/>
      <c r="F29" s="346"/>
      <c r="G29" s="346"/>
    </row>
    <row r="30" spans="1:7" ht="15.9" customHeight="1" x14ac:dyDescent="0.3">
      <c r="A30" s="128" t="s">
        <v>79</v>
      </c>
      <c r="B30" s="294"/>
      <c r="C30" s="296"/>
      <c r="D30" s="244"/>
      <c r="E30" s="129"/>
      <c r="F30" s="346"/>
      <c r="G30" s="346"/>
    </row>
    <row r="31" spans="1:7" ht="15.9" customHeight="1" x14ac:dyDescent="0.3">
      <c r="A31" s="243" t="s">
        <v>44</v>
      </c>
      <c r="B31" s="297">
        <f>MAX(0,SUM(B29:B30))</f>
        <v>0</v>
      </c>
      <c r="C31" s="112"/>
      <c r="D31" s="112"/>
      <c r="E31" s="129"/>
      <c r="F31" s="346"/>
      <c r="G31" s="346"/>
    </row>
    <row r="32" spans="1:7" ht="15.9" customHeight="1" x14ac:dyDescent="0.3">
      <c r="A32" s="128" t="s">
        <v>45</v>
      </c>
      <c r="B32" s="347">
        <v>-10600</v>
      </c>
      <c r="C32" s="112"/>
      <c r="D32" s="112"/>
      <c r="E32" s="129"/>
      <c r="F32" s="346"/>
      <c r="G32" s="346"/>
    </row>
    <row r="33" spans="1:7" ht="15.9" customHeight="1" x14ac:dyDescent="0.3">
      <c r="A33" s="243" t="s">
        <v>46</v>
      </c>
      <c r="B33" s="295">
        <f>MAX(0,SUM(B31:B32))</f>
        <v>0</v>
      </c>
      <c r="C33" s="112"/>
      <c r="D33" s="112"/>
      <c r="E33" s="129"/>
      <c r="F33" s="346"/>
      <c r="G33" s="346"/>
    </row>
    <row r="34" spans="1:7" ht="15.9" customHeight="1" x14ac:dyDescent="0.3">
      <c r="A34" s="128" t="s">
        <v>233</v>
      </c>
      <c r="B34" s="340" t="str">
        <f>IF(B33&gt;0,"Yes, you must report your gains on your tax return","No, you only need report gains where total disposal proceeds are greater than 4 x £10,600 exemption or elections being made")</f>
        <v>No, you only need report gains where total disposal proceeds are greater than 4 x £10,600 exemption or elections being made</v>
      </c>
      <c r="C34" s="112"/>
      <c r="D34" s="112"/>
      <c r="E34" s="129"/>
      <c r="F34" s="346"/>
      <c r="G34" s="346"/>
    </row>
    <row r="35" spans="1:7" ht="15.9" customHeight="1" x14ac:dyDescent="0.3">
      <c r="A35" s="298" t="str">
        <f>IF(B33&gt;0,"Tax @28% due by 31 January 2014 on your gains:","")</f>
        <v/>
      </c>
      <c r="B35" s="299" t="str">
        <f>IF(A35="","",ROUND(B33*28%,2))</f>
        <v/>
      </c>
      <c r="C35" s="112"/>
      <c r="D35" s="112"/>
      <c r="E35" s="129"/>
      <c r="F35" s="346"/>
      <c r="G35" s="346"/>
    </row>
    <row r="36" spans="1:7" ht="16.2" thickBot="1" x14ac:dyDescent="0.35">
      <c r="A36" s="300"/>
      <c r="B36" s="148"/>
      <c r="C36" s="148"/>
      <c r="D36" s="148"/>
      <c r="E36" s="150"/>
      <c r="F36" s="346"/>
      <c r="G36" s="346"/>
    </row>
    <row r="37" spans="1:7" ht="15.6" x14ac:dyDescent="0.3">
      <c r="A37" s="25"/>
      <c r="B37" s="25"/>
      <c r="C37" s="25"/>
      <c r="D37" s="25"/>
      <c r="E37" s="25"/>
      <c r="F37" s="346"/>
      <c r="G37" s="346"/>
    </row>
    <row r="38" spans="1:7" ht="15.6" x14ac:dyDescent="0.3">
      <c r="A38" s="20" t="s">
        <v>72</v>
      </c>
      <c r="B38" s="25"/>
      <c r="C38" s="25"/>
      <c r="D38" s="25"/>
      <c r="E38" s="25"/>
      <c r="F38" s="346"/>
      <c r="G38" s="346"/>
    </row>
    <row r="39" spans="1:7" ht="16.2" thickBot="1" x14ac:dyDescent="0.35">
      <c r="A39" s="25"/>
      <c r="B39" s="25"/>
      <c r="C39" s="25"/>
      <c r="D39" s="25"/>
      <c r="E39" s="25"/>
      <c r="F39" s="346"/>
      <c r="G39" s="346"/>
    </row>
    <row r="40" spans="1:7" ht="15.6" x14ac:dyDescent="0.3">
      <c r="A40" s="341" t="s">
        <v>262</v>
      </c>
      <c r="B40" s="301"/>
      <c r="C40" s="301"/>
      <c r="D40" s="301"/>
      <c r="E40" s="302"/>
      <c r="F40" s="346"/>
      <c r="G40" s="346"/>
    </row>
    <row r="41" spans="1:7" ht="15.6" x14ac:dyDescent="0.3">
      <c r="A41" s="45"/>
      <c r="B41" s="110"/>
      <c r="C41" s="110"/>
      <c r="D41" s="110"/>
      <c r="E41" s="51"/>
      <c r="F41" s="346"/>
      <c r="G41" s="346"/>
    </row>
    <row r="42" spans="1:7" ht="15.6" x14ac:dyDescent="0.3">
      <c r="A42" s="303" t="s">
        <v>261</v>
      </c>
      <c r="B42" s="110"/>
      <c r="C42" s="110"/>
      <c r="D42" s="110"/>
      <c r="E42" s="51"/>
      <c r="F42" s="346"/>
      <c r="G42" s="346"/>
    </row>
    <row r="43" spans="1:7" ht="16.5" customHeight="1" x14ac:dyDescent="0.3">
      <c r="A43" s="303" t="s">
        <v>267</v>
      </c>
      <c r="B43" s="110"/>
      <c r="C43" s="110"/>
      <c r="D43" s="110"/>
      <c r="E43" s="51"/>
      <c r="F43" s="346"/>
      <c r="G43" s="346"/>
    </row>
    <row r="44" spans="1:7" ht="15.6" x14ac:dyDescent="0.3">
      <c r="A44" s="303" t="s">
        <v>263</v>
      </c>
      <c r="B44" s="110"/>
      <c r="C44" s="110"/>
      <c r="D44" s="110"/>
      <c r="E44" s="51"/>
      <c r="F44" s="346" t="s">
        <v>244</v>
      </c>
      <c r="G44" s="346"/>
    </row>
    <row r="45" spans="1:7" ht="15.6" x14ac:dyDescent="0.3">
      <c r="A45" s="46"/>
      <c r="B45" s="110"/>
      <c r="C45" s="110"/>
      <c r="D45" s="110"/>
      <c r="E45" s="51"/>
      <c r="F45" s="346"/>
      <c r="G45" s="346"/>
    </row>
    <row r="46" spans="1:7" ht="15.6" x14ac:dyDescent="0.3">
      <c r="A46" s="304" t="s">
        <v>245</v>
      </c>
      <c r="B46" s="305" t="s">
        <v>53</v>
      </c>
      <c r="C46" s="306" t="s">
        <v>314</v>
      </c>
      <c r="D46" s="306" t="s">
        <v>54</v>
      </c>
      <c r="E46" s="307" t="s">
        <v>56</v>
      </c>
      <c r="F46" s="346"/>
      <c r="G46" s="346" t="s">
        <v>244</v>
      </c>
    </row>
    <row r="47" spans="1:7" ht="15.6" x14ac:dyDescent="0.3">
      <c r="A47" s="46" t="str">
        <f t="shared" ref="A47:A56" si="0">IF(C47="","","PA Consulting Group Limited 10 pence Ordinary Shares")</f>
        <v/>
      </c>
      <c r="B47" s="308" t="str">
        <f>IF(A47="","",'s104 holdings'!C74)</f>
        <v/>
      </c>
      <c r="C47" s="190" t="str">
        <f>IF('s104 holdings'!F74&lt;&gt;0,-'s104 holdings'!F74,"")</f>
        <v/>
      </c>
      <c r="D47" s="117" t="str">
        <f>IF(C47="","",'s104 holdings'!O74)</f>
        <v/>
      </c>
      <c r="E47" s="309" t="str">
        <f>IF(D47="","",'s104 holdings'!P74)</f>
        <v/>
      </c>
      <c r="F47" s="346"/>
      <c r="G47" s="346"/>
    </row>
    <row r="48" spans="1:7" ht="15.6" x14ac:dyDescent="0.3">
      <c r="A48" s="46" t="str">
        <f t="shared" si="0"/>
        <v/>
      </c>
      <c r="B48" s="308" t="str">
        <f>IF(A48="","",'s104 holdings'!C76)</f>
        <v/>
      </c>
      <c r="C48" s="190" t="str">
        <f>IF('s104 holdings'!F76&lt;&gt;0,-'s104 holdings'!F76,"")</f>
        <v/>
      </c>
      <c r="D48" s="117" t="str">
        <f>IF(C48="","",'s104 holdings'!O76)</f>
        <v/>
      </c>
      <c r="E48" s="309" t="str">
        <f>IF(D48="","",'s104 holdings'!P76)</f>
        <v/>
      </c>
      <c r="F48" s="346"/>
      <c r="G48" s="348" t="str">
        <f>IF(D48="","","This is your share transfer")</f>
        <v/>
      </c>
    </row>
    <row r="49" spans="1:8" ht="15.6" x14ac:dyDescent="0.3">
      <c r="A49" s="46" t="str">
        <f t="shared" si="0"/>
        <v/>
      </c>
      <c r="B49" s="308" t="str">
        <f>IF(A49="","",'s104 holdings'!C77)</f>
        <v/>
      </c>
      <c r="C49" s="190" t="str">
        <f>IF('s104 holdings'!F77&lt;&gt;0,-'s104 holdings'!F77,"")</f>
        <v/>
      </c>
      <c r="D49" s="117" t="str">
        <f>IF(C49="","",'s104 holdings'!O77)</f>
        <v/>
      </c>
      <c r="E49" s="309" t="str">
        <f>IF(D49="","",'s104 holdings'!P77)</f>
        <v/>
      </c>
      <c r="F49" s="346"/>
      <c r="G49" s="348" t="str">
        <f>IF(D49="","","This is your share transfer")</f>
        <v/>
      </c>
    </row>
    <row r="50" spans="1:8" ht="15.6" x14ac:dyDescent="0.3">
      <c r="A50" s="46" t="str">
        <f t="shared" si="0"/>
        <v/>
      </c>
      <c r="B50" s="308" t="str">
        <f>IF(A50="","",'s104 holdings'!C79)</f>
        <v/>
      </c>
      <c r="C50" s="190" t="str">
        <f>IF('s104 holdings'!F79&lt;&gt;0,-'s104 holdings'!F79,"")</f>
        <v/>
      </c>
      <c r="D50" s="117" t="str">
        <f>IF(C50="","",'s104 holdings'!O79)</f>
        <v/>
      </c>
      <c r="E50" s="309" t="str">
        <f>IF(D50="","",'s104 holdings'!P79)</f>
        <v/>
      </c>
      <c r="F50" s="348" t="str">
        <f>IF('1112 TR pages'!C43="","","This is your share transfer")</f>
        <v/>
      </c>
      <c r="G50" s="346"/>
    </row>
    <row r="51" spans="1:8" ht="15.6" x14ac:dyDescent="0.3">
      <c r="A51" s="46" t="str">
        <f t="shared" si="0"/>
        <v/>
      </c>
      <c r="B51" s="308" t="str">
        <f>IF(A51="","",'s104 holdings'!C80)</f>
        <v/>
      </c>
      <c r="C51" s="190" t="str">
        <f>IF('s104 holdings'!F80&lt;&gt;0,-'s104 holdings'!F80,"")</f>
        <v/>
      </c>
      <c r="D51" s="117" t="str">
        <f>IF(C51="","",'s104 holdings'!O80)</f>
        <v/>
      </c>
      <c r="E51" s="309" t="str">
        <f>IF(D51="","",'s104 holdings'!P80)</f>
        <v/>
      </c>
      <c r="F51" s="348" t="str">
        <f>IF('1112 TR pages'!C44="","","This is your share transfer")</f>
        <v/>
      </c>
      <c r="G51" s="348" t="str">
        <f>IF(D51="","","This is your share transfer")</f>
        <v/>
      </c>
    </row>
    <row r="52" spans="1:8" ht="15.6" x14ac:dyDescent="0.3">
      <c r="A52" s="46" t="str">
        <f t="shared" si="0"/>
        <v/>
      </c>
      <c r="B52" s="308" t="str">
        <f>IF(A52="","",'s104 holdings'!C85)</f>
        <v/>
      </c>
      <c r="C52" s="190" t="str">
        <f>IF('s104 holdings'!F85&lt;&gt;0,-'s104 holdings'!F85,"")</f>
        <v/>
      </c>
      <c r="D52" s="117" t="str">
        <f>IF(C52="","",'s104 holdings'!O85)</f>
        <v/>
      </c>
      <c r="E52" s="309" t="str">
        <f>IF(D52="","",'s104 holdings'!P85)</f>
        <v/>
      </c>
      <c r="F52" s="349"/>
      <c r="G52" s="348" t="str">
        <f>IF(D52="","","This is your share transfer")</f>
        <v/>
      </c>
    </row>
    <row r="53" spans="1:8" ht="15.6" x14ac:dyDescent="0.3">
      <c r="A53" s="46" t="str">
        <f t="shared" si="0"/>
        <v/>
      </c>
      <c r="B53" s="308" t="str">
        <f>IF(A53="","",'s104 holdings'!C86)</f>
        <v/>
      </c>
      <c r="C53" s="190" t="str">
        <f>IF('s104 holdings'!F86&lt;&gt;0,-'s104 holdings'!F86,"")</f>
        <v/>
      </c>
      <c r="D53" s="117" t="str">
        <f>IF(C53="","",'s104 holdings'!O86)</f>
        <v/>
      </c>
      <c r="E53" s="309" t="str">
        <f>IF(D53="","",'s104 holdings'!P86)</f>
        <v/>
      </c>
      <c r="F53" s="349"/>
      <c r="G53" s="346"/>
    </row>
    <row r="54" spans="1:8" ht="15.6" x14ac:dyDescent="0.3">
      <c r="A54" s="46" t="str">
        <f t="shared" ref="A54:A55" si="1">IF(C54="","","PA Consulting Group Limited 10 pence Ordinary Shares")</f>
        <v/>
      </c>
      <c r="B54" s="308" t="str">
        <f>IF(A54="","",'s104 holdings'!C89)</f>
        <v/>
      </c>
      <c r="C54" s="190" t="str">
        <f>IF('s104 holdings'!F89&lt;&gt;0,-'s104 holdings'!F89,"")</f>
        <v/>
      </c>
      <c r="D54" s="117" t="str">
        <f>IF(C54="","",'s104 holdings'!O89)</f>
        <v/>
      </c>
      <c r="E54" s="309" t="str">
        <f>IF(D54="","",'s104 holdings'!P89)</f>
        <v/>
      </c>
      <c r="F54" s="349"/>
      <c r="G54" s="346"/>
    </row>
    <row r="55" spans="1:8" ht="15.6" x14ac:dyDescent="0.3">
      <c r="A55" s="46" t="str">
        <f t="shared" si="1"/>
        <v/>
      </c>
      <c r="B55" s="308" t="str">
        <f>IF(A55="","",'s104 holdings'!C90)</f>
        <v/>
      </c>
      <c r="C55" s="190" t="str">
        <f>IF('s104 holdings'!K90&lt;&gt;0,-'s104 holdings'!K90,"")</f>
        <v/>
      </c>
      <c r="D55" s="117" t="str">
        <f>IF(C55="","",'s104 holdings'!O90)</f>
        <v/>
      </c>
      <c r="E55" s="309" t="str">
        <f>IF(D55="","",'s104 holdings'!P90)</f>
        <v/>
      </c>
      <c r="F55" s="349"/>
      <c r="G55" s="346"/>
    </row>
    <row r="56" spans="1:8" ht="15.6" x14ac:dyDescent="0.3">
      <c r="A56" s="46" t="str">
        <f t="shared" si="0"/>
        <v/>
      </c>
      <c r="B56" s="310"/>
      <c r="C56" s="190" t="str">
        <f>IF(B10&lt;&gt;0,B10,"")</f>
        <v/>
      </c>
      <c r="D56" s="117" t="str">
        <f>IF(C56="","",B17)</f>
        <v/>
      </c>
      <c r="E56" s="309" t="str">
        <f>IF(D56="","",B26)</f>
        <v/>
      </c>
      <c r="F56" s="349"/>
      <c r="G56" s="348" t="str">
        <f>IF(D56="","","This is your 2007/2008 share options which you exercised and immediately sold")</f>
        <v/>
      </c>
      <c r="H56" s="8"/>
    </row>
    <row r="57" spans="1:8" ht="15.6" x14ac:dyDescent="0.3">
      <c r="A57" s="46" t="str">
        <f>IF(C57="","","PA Consulting Group Limited Redeemable Shares")</f>
        <v/>
      </c>
      <c r="B57" s="413" t="str">
        <f>IF(A57="","",G57)</f>
        <v/>
      </c>
      <c r="C57" s="190" t="str">
        <f>IF(B13&lt;&gt;0,B13,"")</f>
        <v/>
      </c>
      <c r="D57" s="117" t="str">
        <f>IF(C57="","",B18)</f>
        <v/>
      </c>
      <c r="E57" s="309" t="str">
        <f>IF(D57="","",B27)</f>
        <v/>
      </c>
      <c r="F57" s="349"/>
      <c r="G57" s="412">
        <v>41284</v>
      </c>
    </row>
    <row r="58" spans="1:8" ht="15.6" x14ac:dyDescent="0.3">
      <c r="A58" s="46" t="s">
        <v>63</v>
      </c>
      <c r="B58" s="310"/>
      <c r="C58" s="311"/>
      <c r="D58" s="312">
        <f>SUM(D47:D57)</f>
        <v>0</v>
      </c>
      <c r="E58" s="313">
        <f>SUM(E47:E57)</f>
        <v>0</v>
      </c>
      <c r="F58" s="349"/>
      <c r="G58" s="346"/>
    </row>
    <row r="59" spans="1:8" ht="16.2" thickBot="1" x14ac:dyDescent="0.35">
      <c r="A59" s="53"/>
      <c r="B59" s="314"/>
      <c r="C59" s="315"/>
      <c r="D59" s="316"/>
      <c r="E59" s="317"/>
      <c r="F59" s="349"/>
      <c r="G59" s="346"/>
    </row>
    <row r="60" spans="1:8" ht="16.2" thickBot="1" x14ac:dyDescent="0.35">
      <c r="A60" s="112"/>
      <c r="B60" s="318"/>
      <c r="C60" s="319"/>
      <c r="D60" s="320"/>
      <c r="E60" s="321"/>
      <c r="F60" s="349"/>
      <c r="G60" s="346"/>
    </row>
    <row r="61" spans="1:8" ht="15.6" x14ac:dyDescent="0.3">
      <c r="A61" s="242" t="s">
        <v>339</v>
      </c>
      <c r="B61" s="322"/>
      <c r="C61" s="323"/>
      <c r="D61" s="324"/>
      <c r="E61" s="325"/>
      <c r="F61" s="349"/>
      <c r="G61" s="346"/>
    </row>
    <row r="62" spans="1:8" ht="15.6" x14ac:dyDescent="0.3">
      <c r="A62" s="298" t="s">
        <v>75</v>
      </c>
      <c r="B62" s="318"/>
      <c r="C62" s="319"/>
      <c r="D62" s="320"/>
      <c r="E62" s="326"/>
      <c r="F62" s="349"/>
      <c r="G62" s="346"/>
    </row>
    <row r="63" spans="1:8" ht="16.2" thickBot="1" x14ac:dyDescent="0.35">
      <c r="A63" s="128"/>
      <c r="B63" s="318"/>
      <c r="C63" s="319"/>
      <c r="D63" s="320"/>
      <c r="E63" s="326"/>
      <c r="F63" s="349"/>
      <c r="G63" s="346"/>
    </row>
    <row r="64" spans="1:8" ht="16.2" thickBot="1" x14ac:dyDescent="0.35">
      <c r="A64" s="342" t="s">
        <v>337</v>
      </c>
      <c r="B64" s="327">
        <f>COUNT(C47:C57)</f>
        <v>0</v>
      </c>
      <c r="C64" s="319"/>
      <c r="D64" s="320"/>
      <c r="E64" s="326"/>
      <c r="F64" s="349"/>
      <c r="G64" s="346"/>
    </row>
    <row r="65" spans="1:7" ht="16.2" thickBot="1" x14ac:dyDescent="0.35">
      <c r="A65" s="342" t="s">
        <v>91</v>
      </c>
      <c r="B65" s="328">
        <f>ROUNDDOWN(D58,0)</f>
        <v>0</v>
      </c>
      <c r="C65" s="319"/>
      <c r="D65" s="320"/>
      <c r="E65" s="326"/>
      <c r="F65" s="349"/>
      <c r="G65" s="346"/>
    </row>
    <row r="66" spans="1:7" ht="16.2" thickBot="1" x14ac:dyDescent="0.35">
      <c r="A66" s="342" t="s">
        <v>338</v>
      </c>
      <c r="B66" s="328">
        <f>D58-E58</f>
        <v>0</v>
      </c>
      <c r="C66" s="311"/>
      <c r="D66" s="320"/>
      <c r="E66" s="326"/>
      <c r="F66" s="349"/>
      <c r="G66" s="346"/>
    </row>
    <row r="67" spans="1:7" ht="16.2" thickBot="1" x14ac:dyDescent="0.35">
      <c r="A67" s="342" t="s">
        <v>340</v>
      </c>
      <c r="B67" s="328">
        <f>ROUNDDOWN(E58,0)</f>
        <v>0</v>
      </c>
      <c r="C67" s="110"/>
      <c r="D67" s="329"/>
      <c r="E67" s="326"/>
      <c r="F67" s="349"/>
      <c r="G67" s="346"/>
    </row>
    <row r="68" spans="1:7" ht="16.2" thickBot="1" x14ac:dyDescent="0.35">
      <c r="A68" s="342" t="s">
        <v>341</v>
      </c>
      <c r="B68" s="328" t="s">
        <v>69</v>
      </c>
      <c r="C68" s="110"/>
      <c r="D68" s="329"/>
      <c r="E68" s="326"/>
      <c r="F68" s="349"/>
      <c r="G68" s="346"/>
    </row>
    <row r="69" spans="1:7" ht="16.2" thickBot="1" x14ac:dyDescent="0.35">
      <c r="A69" s="342" t="s">
        <v>342</v>
      </c>
      <c r="B69" s="328" t="s">
        <v>69</v>
      </c>
      <c r="C69" s="330"/>
      <c r="D69" s="330"/>
      <c r="E69" s="326"/>
      <c r="F69" s="349"/>
      <c r="G69" s="346"/>
    </row>
    <row r="70" spans="1:7" s="15" customFormat="1" ht="16.2" thickBot="1" x14ac:dyDescent="0.35">
      <c r="A70" s="53"/>
      <c r="B70" s="331"/>
      <c r="C70" s="331"/>
      <c r="D70" s="331"/>
      <c r="E70" s="317"/>
      <c r="F70" s="350"/>
      <c r="G70" s="351"/>
    </row>
    <row r="71" spans="1:7" ht="16.2" thickBot="1" x14ac:dyDescent="0.35">
      <c r="A71" s="25"/>
      <c r="B71" s="25"/>
      <c r="C71" s="25"/>
      <c r="D71" s="332"/>
      <c r="E71" s="333"/>
      <c r="F71" s="349"/>
      <c r="G71" s="346"/>
    </row>
    <row r="72" spans="1:7" ht="15.6" x14ac:dyDescent="0.3">
      <c r="A72" s="274" t="s">
        <v>255</v>
      </c>
      <c r="B72" s="322"/>
      <c r="C72" s="323"/>
      <c r="D72" s="324"/>
      <c r="E72" s="325"/>
      <c r="F72" s="349"/>
      <c r="G72" s="346"/>
    </row>
    <row r="73" spans="1:7" ht="15.6" x14ac:dyDescent="0.3">
      <c r="A73" s="298" t="s">
        <v>75</v>
      </c>
      <c r="B73" s="318"/>
      <c r="C73" s="319"/>
      <c r="D73" s="320"/>
      <c r="E73" s="326"/>
      <c r="F73" s="349"/>
      <c r="G73" s="346"/>
    </row>
    <row r="74" spans="1:7" ht="15.6" x14ac:dyDescent="0.3">
      <c r="A74" s="128"/>
      <c r="B74" s="318"/>
      <c r="C74" s="319"/>
      <c r="D74" s="320"/>
      <c r="E74" s="326"/>
      <c r="F74" s="349"/>
      <c r="G74" s="346"/>
    </row>
    <row r="75" spans="1:7" ht="16.2" thickBot="1" x14ac:dyDescent="0.35">
      <c r="A75" s="243" t="s">
        <v>73</v>
      </c>
      <c r="B75" s="310"/>
      <c r="C75" s="311"/>
      <c r="D75" s="329"/>
      <c r="E75" s="336"/>
      <c r="F75" s="349"/>
      <c r="G75" s="346"/>
    </row>
    <row r="76" spans="1:7" ht="15" customHeight="1" thickBot="1" x14ac:dyDescent="0.35">
      <c r="A76" s="342" t="s">
        <v>332</v>
      </c>
      <c r="B76" s="310"/>
      <c r="C76" s="342" t="s">
        <v>76</v>
      </c>
      <c r="D76" s="342"/>
      <c r="E76" s="342"/>
      <c r="F76" s="349"/>
      <c r="G76" s="346"/>
    </row>
    <row r="77" spans="1:7" ht="15" customHeight="1" thickBot="1" x14ac:dyDescent="0.35">
      <c r="A77" s="328">
        <f>ROUNDDOWN(B29,0)</f>
        <v>0</v>
      </c>
      <c r="B77" s="310"/>
      <c r="C77" s="679">
        <f>MAX(0,D30)</f>
        <v>0</v>
      </c>
      <c r="D77" s="679"/>
      <c r="E77" s="679"/>
      <c r="F77" s="349"/>
      <c r="G77" s="346"/>
    </row>
    <row r="78" spans="1:7" ht="15" customHeight="1" thickBot="1" x14ac:dyDescent="0.35">
      <c r="A78" s="128"/>
      <c r="B78" s="310"/>
      <c r="C78" s="311"/>
      <c r="D78" s="329"/>
      <c r="E78" s="336"/>
      <c r="F78" s="349"/>
      <c r="G78" s="346"/>
    </row>
    <row r="79" spans="1:7" ht="15" customHeight="1" thickBot="1" x14ac:dyDescent="0.35">
      <c r="A79" s="342" t="s">
        <v>260</v>
      </c>
      <c r="B79" s="310"/>
      <c r="C79" s="343" t="s">
        <v>78</v>
      </c>
      <c r="D79" s="344"/>
      <c r="E79" s="345"/>
      <c r="F79" s="346"/>
      <c r="G79" s="346"/>
    </row>
    <row r="80" spans="1:7" ht="15" customHeight="1" thickBot="1" x14ac:dyDescent="0.35">
      <c r="A80" s="328" t="s">
        <v>80</v>
      </c>
      <c r="B80" s="310"/>
      <c r="C80" s="678" t="s">
        <v>80</v>
      </c>
      <c r="D80" s="678"/>
      <c r="E80" s="678"/>
      <c r="F80" s="346"/>
      <c r="G80" s="346"/>
    </row>
    <row r="81" spans="1:7" ht="15" customHeight="1" thickBot="1" x14ac:dyDescent="0.35">
      <c r="A81" s="128"/>
      <c r="B81" s="310"/>
      <c r="C81" s="311"/>
      <c r="D81" s="329"/>
      <c r="E81" s="336"/>
      <c r="F81" s="349"/>
      <c r="G81" s="346"/>
    </row>
    <row r="82" spans="1:7" ht="15" customHeight="1" thickBot="1" x14ac:dyDescent="0.35">
      <c r="A82" s="342" t="s">
        <v>333</v>
      </c>
      <c r="B82" s="310"/>
      <c r="C82" s="342" t="s">
        <v>264</v>
      </c>
      <c r="D82" s="342"/>
      <c r="E82" s="342"/>
      <c r="F82" s="349"/>
      <c r="G82" s="346"/>
    </row>
    <row r="83" spans="1:7" ht="15" customHeight="1" thickBot="1" x14ac:dyDescent="0.35">
      <c r="A83" s="328" t="s">
        <v>80</v>
      </c>
      <c r="B83" s="310"/>
      <c r="C83" s="679" t="s">
        <v>80</v>
      </c>
      <c r="D83" s="679"/>
      <c r="E83" s="679"/>
      <c r="F83" s="349"/>
      <c r="G83" s="346"/>
    </row>
    <row r="84" spans="1:7" ht="15" customHeight="1" thickBot="1" x14ac:dyDescent="0.35">
      <c r="A84" s="328"/>
      <c r="B84" s="310"/>
      <c r="C84" s="311"/>
      <c r="D84" s="329"/>
      <c r="E84" s="336"/>
      <c r="F84" s="349"/>
      <c r="G84" s="346"/>
    </row>
    <row r="85" spans="1:7" ht="15" customHeight="1" thickBot="1" x14ac:dyDescent="0.35">
      <c r="A85" s="342" t="s">
        <v>256</v>
      </c>
      <c r="B85" s="310"/>
      <c r="C85" s="342" t="s">
        <v>265</v>
      </c>
      <c r="D85" s="342"/>
      <c r="E85" s="342"/>
      <c r="F85" s="349"/>
      <c r="G85" s="346"/>
    </row>
    <row r="86" spans="1:7" ht="15" customHeight="1" thickBot="1" x14ac:dyDescent="0.35">
      <c r="A86" s="328">
        <v>0</v>
      </c>
      <c r="B86" s="310"/>
      <c r="C86" s="679" t="s">
        <v>80</v>
      </c>
      <c r="D86" s="679"/>
      <c r="E86" s="679"/>
      <c r="F86" s="349"/>
      <c r="G86" s="346"/>
    </row>
    <row r="87" spans="1:7" ht="15" customHeight="1" thickBot="1" x14ac:dyDescent="0.35">
      <c r="A87" s="128"/>
      <c r="B87" s="329"/>
      <c r="C87" s="110"/>
      <c r="D87" s="110"/>
      <c r="E87" s="51"/>
      <c r="F87" s="349"/>
      <c r="G87" s="346"/>
    </row>
    <row r="88" spans="1:7" ht="15" customHeight="1" thickBot="1" x14ac:dyDescent="0.35">
      <c r="A88" s="342" t="s">
        <v>257</v>
      </c>
      <c r="B88" s="310"/>
      <c r="C88" s="342" t="s">
        <v>266</v>
      </c>
      <c r="D88" s="342"/>
      <c r="E88" s="342"/>
      <c r="F88" s="349"/>
      <c r="G88" s="346"/>
    </row>
    <row r="89" spans="1:7" ht="15" customHeight="1" thickBot="1" x14ac:dyDescent="0.35">
      <c r="A89" s="328">
        <f>MIN(-B30,B29)</f>
        <v>0</v>
      </c>
      <c r="B89" s="310"/>
      <c r="C89" s="679" t="s">
        <v>80</v>
      </c>
      <c r="D89" s="679"/>
      <c r="E89" s="679"/>
      <c r="F89" s="349"/>
      <c r="G89" s="346"/>
    </row>
    <row r="90" spans="1:7" ht="16.2" thickBot="1" x14ac:dyDescent="0.35">
      <c r="A90" s="128"/>
      <c r="B90" s="110"/>
      <c r="C90" s="110"/>
      <c r="D90" s="110"/>
      <c r="E90" s="51"/>
      <c r="F90" s="346"/>
      <c r="G90" s="346"/>
    </row>
    <row r="91" spans="1:7" ht="15" customHeight="1" thickBot="1" x14ac:dyDescent="0.35">
      <c r="A91" s="342" t="s">
        <v>334</v>
      </c>
      <c r="B91" s="310"/>
      <c r="C91" s="342" t="s">
        <v>336</v>
      </c>
      <c r="D91" s="342"/>
      <c r="E91" s="342"/>
      <c r="F91" s="349"/>
      <c r="G91" s="346"/>
    </row>
    <row r="92" spans="1:7" ht="15" customHeight="1" thickBot="1" x14ac:dyDescent="0.35">
      <c r="A92" s="328" t="s">
        <v>335</v>
      </c>
      <c r="B92" s="310"/>
      <c r="C92" s="679" t="s">
        <v>80</v>
      </c>
      <c r="D92" s="679"/>
      <c r="E92" s="679"/>
      <c r="F92" s="349"/>
      <c r="G92" s="346"/>
    </row>
    <row r="93" spans="1:7" ht="16.2" thickBot="1" x14ac:dyDescent="0.35">
      <c r="A93" s="128"/>
      <c r="B93" s="110"/>
      <c r="C93" s="110"/>
      <c r="D93" s="110"/>
      <c r="E93" s="51"/>
      <c r="F93" s="346"/>
      <c r="G93" s="346"/>
    </row>
    <row r="94" spans="1:7" ht="16.2" thickBot="1" x14ac:dyDescent="0.35">
      <c r="A94" s="342" t="s">
        <v>85</v>
      </c>
      <c r="B94" s="310"/>
      <c r="C94" s="112"/>
      <c r="D94" s="112"/>
      <c r="E94" s="129"/>
      <c r="F94" s="346"/>
      <c r="G94" s="346"/>
    </row>
    <row r="95" spans="1:7" ht="16.2" thickBot="1" x14ac:dyDescent="0.35">
      <c r="A95" s="328" t="s">
        <v>80</v>
      </c>
      <c r="B95" s="310"/>
      <c r="C95" s="112"/>
      <c r="D95" s="112"/>
      <c r="E95" s="129"/>
      <c r="F95" s="346"/>
      <c r="G95" s="346"/>
    </row>
    <row r="96" spans="1:7" ht="15" customHeight="1" thickBot="1" x14ac:dyDescent="0.35">
      <c r="A96" s="147"/>
      <c r="B96" s="337"/>
      <c r="C96" s="148"/>
      <c r="D96" s="148"/>
      <c r="E96" s="150"/>
      <c r="F96" s="349"/>
      <c r="G96" s="346"/>
    </row>
    <row r="97" spans="1:7" ht="15" customHeight="1" thickBot="1" x14ac:dyDescent="0.35">
      <c r="A97" s="25"/>
      <c r="B97" s="318"/>
      <c r="C97" s="25"/>
      <c r="D97" s="25"/>
      <c r="E97" s="25"/>
      <c r="F97" s="349"/>
      <c r="G97" s="346"/>
    </row>
    <row r="98" spans="1:7" ht="15.6" x14ac:dyDescent="0.3">
      <c r="A98" s="274" t="s">
        <v>254</v>
      </c>
      <c r="B98" s="111"/>
      <c r="C98" s="111"/>
      <c r="D98" s="111"/>
      <c r="E98" s="159"/>
      <c r="F98" s="346"/>
      <c r="G98" s="346"/>
    </row>
    <row r="99" spans="1:7" ht="15" customHeight="1" thickBot="1" x14ac:dyDescent="0.35">
      <c r="A99" s="243" t="s">
        <v>65</v>
      </c>
      <c r="B99" s="318"/>
      <c r="C99" s="112"/>
      <c r="D99" s="112"/>
      <c r="E99" s="51"/>
      <c r="F99" s="349"/>
      <c r="G99" s="346"/>
    </row>
    <row r="100" spans="1:7" ht="15" customHeight="1" thickBot="1" x14ac:dyDescent="0.35">
      <c r="A100" s="342" t="s">
        <v>64</v>
      </c>
      <c r="B100" s="318"/>
      <c r="C100" s="343" t="s">
        <v>66</v>
      </c>
      <c r="D100" s="344"/>
      <c r="E100" s="345"/>
      <c r="F100" s="349"/>
      <c r="G100" s="346"/>
    </row>
    <row r="101" spans="1:7" ht="15" customHeight="1" thickBot="1" x14ac:dyDescent="0.35">
      <c r="A101" s="327">
        <f>COUNT(C47:C57)</f>
        <v>0</v>
      </c>
      <c r="B101" s="318"/>
      <c r="C101" s="695">
        <f>ROUNDDOWN(E58,0)</f>
        <v>0</v>
      </c>
      <c r="D101" s="696"/>
      <c r="E101" s="697"/>
      <c r="F101" s="349"/>
      <c r="G101" s="346"/>
    </row>
    <row r="102" spans="1:7" ht="15" customHeight="1" thickBot="1" x14ac:dyDescent="0.35">
      <c r="A102" s="128"/>
      <c r="B102" s="320"/>
      <c r="C102" s="319"/>
      <c r="D102" s="320"/>
      <c r="E102" s="336"/>
      <c r="F102" s="349"/>
      <c r="G102" s="346"/>
    </row>
    <row r="103" spans="1:7" ht="15" customHeight="1" thickBot="1" x14ac:dyDescent="0.35">
      <c r="A103" s="342" t="s">
        <v>67</v>
      </c>
      <c r="B103" s="318"/>
      <c r="C103" s="342" t="s">
        <v>68</v>
      </c>
      <c r="D103" s="342"/>
      <c r="E103" s="342"/>
      <c r="F103" s="349"/>
      <c r="G103" s="346"/>
    </row>
    <row r="104" spans="1:7" ht="15" customHeight="1" thickBot="1" x14ac:dyDescent="0.35">
      <c r="A104" s="328">
        <f>ROUNDDOWN(D58,0)</f>
        <v>0</v>
      </c>
      <c r="B104" s="318"/>
      <c r="C104" s="679" t="s">
        <v>69</v>
      </c>
      <c r="D104" s="679"/>
      <c r="E104" s="679"/>
      <c r="F104" s="349"/>
      <c r="G104" s="346"/>
    </row>
    <row r="105" spans="1:7" ht="15" customHeight="1" thickBot="1" x14ac:dyDescent="0.35">
      <c r="A105" s="128"/>
      <c r="B105" s="320"/>
      <c r="C105" s="319"/>
      <c r="D105" s="320"/>
      <c r="E105" s="336"/>
      <c r="F105" s="349"/>
      <c r="G105" s="346"/>
    </row>
    <row r="106" spans="1:7" ht="15" customHeight="1" thickBot="1" x14ac:dyDescent="0.35">
      <c r="A106" s="342" t="s">
        <v>70</v>
      </c>
      <c r="B106" s="318"/>
      <c r="C106" s="342" t="s">
        <v>71</v>
      </c>
      <c r="D106" s="342"/>
      <c r="E106" s="342"/>
      <c r="F106" s="349"/>
      <c r="G106" s="346"/>
    </row>
    <row r="107" spans="1:7" ht="15" customHeight="1" thickBot="1" x14ac:dyDescent="0.35">
      <c r="A107" s="328">
        <f>D58-E58</f>
        <v>0</v>
      </c>
      <c r="B107" s="318"/>
      <c r="C107" s="679" t="s">
        <v>69</v>
      </c>
      <c r="D107" s="679"/>
      <c r="E107" s="679"/>
      <c r="F107" s="349"/>
      <c r="G107" s="346"/>
    </row>
    <row r="108" spans="1:7" ht="16.2" thickBot="1" x14ac:dyDescent="0.35">
      <c r="A108" s="147"/>
      <c r="B108" s="148"/>
      <c r="C108" s="148"/>
      <c r="D108" s="148"/>
      <c r="E108" s="150"/>
      <c r="F108" s="346"/>
      <c r="G108" s="346"/>
    </row>
    <row r="109" spans="1:7" ht="15.6" x14ac:dyDescent="0.3">
      <c r="A109" s="25"/>
      <c r="B109" s="25"/>
      <c r="C109" s="25"/>
      <c r="D109" s="25"/>
      <c r="E109" s="25"/>
      <c r="F109" s="346"/>
      <c r="G109" s="346"/>
    </row>
    <row r="110" spans="1:7" ht="15.6" x14ac:dyDescent="0.3">
      <c r="A110" s="25"/>
      <c r="B110" s="25"/>
      <c r="C110" s="25"/>
      <c r="D110" s="25"/>
      <c r="E110" s="25"/>
      <c r="F110" s="346"/>
      <c r="G110" s="346"/>
    </row>
    <row r="111" spans="1:7" ht="15.6" x14ac:dyDescent="0.3">
      <c r="A111" s="25"/>
      <c r="B111" s="25"/>
      <c r="C111" s="25"/>
      <c r="D111" s="25"/>
      <c r="E111" s="25"/>
      <c r="F111" s="346"/>
      <c r="G111" s="346"/>
    </row>
    <row r="112" spans="1:7" ht="15.6" x14ac:dyDescent="0.3">
      <c r="A112" s="25"/>
      <c r="B112" s="25"/>
      <c r="C112" s="25"/>
      <c r="D112" s="25"/>
      <c r="E112" s="25"/>
      <c r="F112" s="346"/>
      <c r="G112" s="346"/>
    </row>
    <row r="113" spans="1:7" ht="15.6" x14ac:dyDescent="0.3">
      <c r="A113" s="25"/>
      <c r="B113" s="25"/>
      <c r="C113" s="25"/>
      <c r="D113" s="25"/>
      <c r="E113" s="25"/>
      <c r="F113" s="346"/>
      <c r="G113" s="346"/>
    </row>
    <row r="114" spans="1:7" ht="15.6" x14ac:dyDescent="0.3">
      <c r="A114" s="25"/>
      <c r="B114" s="25"/>
      <c r="C114" s="25"/>
      <c r="D114" s="25"/>
      <c r="E114" s="25"/>
      <c r="F114" s="346"/>
      <c r="G114" s="346"/>
    </row>
    <row r="115" spans="1:7" ht="15.6" x14ac:dyDescent="0.3">
      <c r="A115" s="25"/>
      <c r="B115" s="25"/>
      <c r="C115" s="25"/>
      <c r="D115" s="25"/>
      <c r="E115" s="25"/>
      <c r="F115" s="346"/>
      <c r="G115" s="346"/>
    </row>
    <row r="116" spans="1:7" ht="15.6" x14ac:dyDescent="0.3">
      <c r="A116" s="25"/>
      <c r="B116" s="25"/>
      <c r="C116" s="25"/>
      <c r="D116" s="25"/>
      <c r="E116" s="25"/>
      <c r="F116" s="346"/>
      <c r="G116" s="346"/>
    </row>
    <row r="117" spans="1:7" ht="15.6" x14ac:dyDescent="0.3">
      <c r="A117" s="25"/>
      <c r="B117" s="25"/>
      <c r="C117" s="25"/>
      <c r="D117" s="25"/>
      <c r="E117" s="25"/>
      <c r="F117" s="346"/>
      <c r="G117" s="346"/>
    </row>
    <row r="118" spans="1:7" ht="15.6" x14ac:dyDescent="0.3">
      <c r="A118" s="25"/>
      <c r="B118" s="25"/>
      <c r="C118" s="25"/>
      <c r="D118" s="25"/>
      <c r="E118" s="25"/>
      <c r="F118" s="346"/>
      <c r="G118" s="346"/>
    </row>
    <row r="119" spans="1:7" ht="15.6" x14ac:dyDescent="0.3">
      <c r="A119" s="25"/>
      <c r="B119" s="25"/>
      <c r="C119" s="25"/>
      <c r="D119" s="25"/>
      <c r="E119" s="25"/>
      <c r="F119" s="346"/>
      <c r="G119" s="346"/>
    </row>
    <row r="120" spans="1:7" ht="15.6" x14ac:dyDescent="0.3">
      <c r="A120" s="25"/>
      <c r="B120" s="25"/>
      <c r="C120" s="25"/>
      <c r="D120" s="25"/>
      <c r="E120" s="25"/>
      <c r="F120" s="346"/>
      <c r="G120" s="346"/>
    </row>
    <row r="121" spans="1:7" ht="15.6" x14ac:dyDescent="0.3">
      <c r="A121" s="25"/>
      <c r="B121" s="25"/>
      <c r="C121" s="25"/>
      <c r="D121" s="25"/>
      <c r="E121" s="25"/>
      <c r="F121" s="346"/>
      <c r="G121" s="346"/>
    </row>
    <row r="122" spans="1:7" ht="15.6" x14ac:dyDescent="0.3">
      <c r="A122" s="25"/>
      <c r="B122" s="25"/>
      <c r="C122" s="25"/>
      <c r="D122" s="25"/>
      <c r="E122" s="25"/>
      <c r="F122" s="346"/>
      <c r="G122" s="346"/>
    </row>
    <row r="123" spans="1:7" ht="15.6" x14ac:dyDescent="0.3">
      <c r="A123" s="25"/>
      <c r="B123" s="25"/>
      <c r="C123" s="25"/>
      <c r="D123" s="25"/>
      <c r="E123" s="25"/>
      <c r="F123" s="346"/>
      <c r="G123" s="346"/>
    </row>
    <row r="124" spans="1:7" ht="15.6" x14ac:dyDescent="0.3">
      <c r="A124" s="25"/>
      <c r="B124" s="25"/>
      <c r="C124" s="25"/>
      <c r="D124" s="25"/>
      <c r="E124" s="25"/>
      <c r="F124" s="346"/>
      <c r="G124" s="346"/>
    </row>
    <row r="125" spans="1:7" ht="15.6" x14ac:dyDescent="0.3">
      <c r="A125" s="25"/>
      <c r="B125" s="25"/>
      <c r="C125" s="25"/>
      <c r="D125" s="25"/>
      <c r="E125" s="25"/>
      <c r="F125" s="346"/>
      <c r="G125" s="346"/>
    </row>
    <row r="126" spans="1:7" ht="15.6" x14ac:dyDescent="0.3">
      <c r="A126" s="25"/>
      <c r="B126" s="25"/>
      <c r="C126" s="25"/>
      <c r="D126" s="25"/>
      <c r="E126" s="25"/>
      <c r="F126" s="346"/>
      <c r="G126" s="346"/>
    </row>
    <row r="127" spans="1:7" ht="15.6" x14ac:dyDescent="0.3">
      <c r="A127" s="25"/>
      <c r="B127" s="25"/>
      <c r="C127" s="25"/>
      <c r="D127" s="25"/>
      <c r="E127" s="25"/>
      <c r="F127" s="346"/>
      <c r="G127" s="346"/>
    </row>
    <row r="128" spans="1:7" ht="15.6" x14ac:dyDescent="0.3">
      <c r="A128" s="25"/>
      <c r="B128" s="25"/>
      <c r="C128" s="25"/>
      <c r="D128" s="25"/>
      <c r="E128" s="25"/>
      <c r="F128" s="346"/>
      <c r="G128" s="346"/>
    </row>
    <row r="129" spans="1:7" ht="15.6" x14ac:dyDescent="0.3">
      <c r="A129" s="25"/>
      <c r="B129" s="25"/>
      <c r="C129" s="25"/>
      <c r="D129" s="25"/>
      <c r="E129" s="25"/>
      <c r="F129" s="346"/>
      <c r="G129" s="346"/>
    </row>
    <row r="130" spans="1:7" ht="13.8" x14ac:dyDescent="0.3">
      <c r="A130" s="16"/>
      <c r="B130" s="16"/>
      <c r="C130" s="16"/>
      <c r="D130" s="16"/>
      <c r="E130" s="16"/>
    </row>
    <row r="131" spans="1:7" ht="13.8" x14ac:dyDescent="0.3">
      <c r="A131" s="16"/>
      <c r="B131" s="16"/>
      <c r="C131" s="16"/>
      <c r="D131" s="16"/>
      <c r="E131" s="16"/>
    </row>
  </sheetData>
  <mergeCells count="9">
    <mergeCell ref="C104:E104"/>
    <mergeCell ref="C107:E107"/>
    <mergeCell ref="C77:E77"/>
    <mergeCell ref="C80:E80"/>
    <mergeCell ref="C83:E83"/>
    <mergeCell ref="C86:E86"/>
    <mergeCell ref="C89:E89"/>
    <mergeCell ref="C101:E101"/>
    <mergeCell ref="C92:E92"/>
  </mergeCells>
  <dataValidations count="3">
    <dataValidation type="list" allowBlank="1" showInputMessage="1" showErrorMessage="1" sqref="C11" xr:uid="{00000000-0002-0000-0800-000000000000}">
      <formula1>#REF!</formula1>
    </dataValidation>
    <dataValidation type="list" allowBlank="1" showInputMessage="1" showErrorMessage="1" sqref="C10" xr:uid="{00000000-0002-0000-0800-000001000000}">
      <formula1>$I$10:$M$10</formula1>
    </dataValidation>
    <dataValidation type="decimal" allowBlank="1" showInputMessage="1" showErrorMessage="1" promptTitle="Enter as negative number" sqref="B30" xr:uid="{00000000-0002-0000-0800-000002000000}">
      <formula1>-1000000</formula1>
      <formula2>0</formula2>
    </dataValidation>
  </dataValidations>
  <printOptions horizontalCentered="1"/>
  <pageMargins left="0.27559055118110237" right="0.23622047244094491" top="0.98425196850393704" bottom="5.393700787401575" header="0.51181102362204722" footer="0.51181102362204722"/>
  <pageSetup paperSize="9" scale="50" orientation="landscape" r:id="rId1"/>
  <headerFooter alignWithMargins="0"/>
  <rowBreaks count="1" manualBreakCount="1">
    <brk id="7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ADocumentLibraries - PA Document Base" ma:contentTypeID="0x0101001B940DAB6AD6487085FD25BA3A462A9F005362804AAEBF4299ABE7ECAB24B53313005ACA7E082C3B694A99AA3DBFAA996377" ma:contentTypeVersion="25" ma:contentTypeDescription="My Content Type" ma:contentTypeScope="" ma:versionID="59d1ab8aae44d05927e530e74f3839eb">
  <xsd:schema xmlns:xsd="http://www.w3.org/2001/XMLSchema" xmlns:xs="http://www.w3.org/2001/XMLSchema" xmlns:p="http://schemas.microsoft.com/office/2006/metadata/properties" xmlns:ns1="http://schemas.microsoft.com/sharepoint/v3" xmlns:ns3="36edc812-9e9f-42a5-a30d-c3a9bcd00741" targetNamespace="http://schemas.microsoft.com/office/2006/metadata/properties" ma:root="true" ma:fieldsID="b4cb26cd06f154700177c912ba3415eb" ns1:_="" ns3:_="">
    <xsd:import namespace="http://schemas.microsoft.com/sharepoint/v3"/>
    <xsd:import namespace="36edc812-9e9f-42a5-a30d-c3a9bcd00741"/>
    <xsd:element name="properties">
      <xsd:complexType>
        <xsd:sequence>
          <xsd:element name="documentManagement">
            <xsd:complexType>
              <xsd:all>
                <xsd:element ref="ns1:RateValue" minOccurs="0"/>
                <xsd:element ref="ns1:RateStorage" minOccurs="0"/>
                <xsd:element ref="ns1:RateComments" minOccurs="0"/>
                <xsd:element ref="ns3:Site_x0020_name" minOccurs="0"/>
                <xsd:element ref="ns1:ReportOwner" minOccurs="0"/>
                <xsd:element ref="ns3:Second_x0020_owner" minOccurs="0"/>
                <xsd:element ref="ns3:Manager" minOccurs="0"/>
                <xsd:element ref="ns3:Administrator" minOccurs="0"/>
                <xsd:element ref="ns3:Member" minOccurs="0"/>
                <xsd:element ref="ns3:h245cd1404804f2b87749efa01ef63fa" minOccurs="0"/>
                <xsd:element ref="ns3:TaxCatchAll" minOccurs="0"/>
                <xsd:element ref="ns3:da358f0ef6834fb5b0e18def3f2e7a14" minOccurs="0"/>
                <xsd:element ref="ns3:bb48fa43295b4f439fc7e65db7c06692" minOccurs="0"/>
                <xsd:element ref="ns3:a36dabc63ec6436b850783f29946a443" minOccurs="0"/>
                <xsd:element ref="ns3:o4633d49e4cc44e387c88698411faa26" minOccurs="0"/>
                <xsd:element ref="ns3:e7e30244e04b4964a123d6364eef78c7" minOccurs="0"/>
                <xsd:element ref="ns3:Proposition" minOccurs="0"/>
                <xsd:element ref="ns3:Other" minOccurs="0"/>
                <xsd:element ref="ns3:Job_x0020_code" minOccurs="0"/>
                <xsd:element ref="ns3:Prospect_x0020_code" minOccurs="0"/>
                <xsd:element ref="ns3:Client" minOccurs="0"/>
                <xsd:element ref="ns3:Site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ateValue" ma:index="8" nillable="true" ma:displayName="Vote Results" ma:internalName="RateValue">
      <xsd:simpleType>
        <xsd:restriction base="dms:Unknown"/>
      </xsd:simpleType>
    </xsd:element>
    <xsd:element name="RateStorage" ma:index="9" nillable="true" ma:displayName="Vote History" ma:hidden="true" ma:internalName="RateStorage">
      <xsd:simpleType>
        <xsd:restriction base="dms:Note"/>
      </xsd:simpleType>
    </xsd:element>
    <xsd:element name="RateComments" ma:index="10" nillable="true" ma:displayName="View Comments" ma:internalName="RateComments">
      <xsd:simpleType>
        <xsd:restriction base="dms:Unknown"/>
      </xsd:simpleType>
    </xsd:element>
    <xsd:element name="ReportOwner" ma:index="12" nillable="true" ma:displayName="Owner" ma:description="Owner of this document" ma:list="UserInfo" ma:internalName="Repor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6edc812-9e9f-42a5-a30d-c3a9bcd00741" elementFormDefault="qualified">
    <xsd:import namespace="http://schemas.microsoft.com/office/2006/documentManagement/types"/>
    <xsd:import namespace="http://schemas.microsoft.com/office/infopath/2007/PartnerControls"/>
    <xsd:element name="Site_x0020_name" ma:index="11" nillable="true" ma:displayName="Site name" ma:internalName="Site_x0020_name">
      <xsd:simpleType>
        <xsd:restriction base="dms:Text"/>
      </xsd:simpleType>
    </xsd:element>
    <xsd:element name="Second_x0020_owner" ma:index="13" nillable="true" ma:displayName="Second owner" ma:list="UserInfo" ma:internalName="Second_x0020_own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nager" ma:index="14" nillable="true" ma:displayName="Manager" ma:list="UserInfo" ma:internalName="Mana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ministrator" ma:index="15" nillable="true" ma:displayName="Administrator" ma:list="UserInfo" ma:internalName="Administrato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 ma:index="16" nillable="true" ma:displayName="Member" ma:list="UserInfo" ma:internalName="Memb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245cd1404804f2b87749efa01ef63fa" ma:index="18" nillable="true" ma:taxonomy="true" ma:internalName="h245cd1404804f2b87749efa01ef63fa" ma:taxonomyFieldName="Accounts" ma:displayName="Accounts" ma:fieldId="{1245cd14-0480-4f2b-8774-9efa01ef63fa}" ma:taxonomyMulti="true" ma:sspId="25c2aa33-f802-416f-a311-ea97a475656c" ma:termSetId="374c4141-0886-4068-8b0b-bc7719a558bb"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457c443b-7a8e-445f-9f9c-c89fa8962c7c}" ma:internalName="TaxCatchAll" ma:showField="CatchAllData" ma:web="36edc812-9e9f-42a5-a30d-c3a9bcd00741">
      <xsd:complexType>
        <xsd:complexContent>
          <xsd:extension base="dms:MultiChoiceLookup">
            <xsd:sequence>
              <xsd:element name="Value" type="dms:Lookup" maxOccurs="unbounded" minOccurs="0" nillable="true"/>
            </xsd:sequence>
          </xsd:extension>
        </xsd:complexContent>
      </xsd:complexType>
    </xsd:element>
    <xsd:element name="da358f0ef6834fb5b0e18def3f2e7a14" ma:index="21" nillable="true" ma:taxonomy="true" ma:internalName="da358f0ef6834fb5b0e18def3f2e7a14" ma:taxonomyFieldName="Sector" ma:displayName="Sector" ma:fieldId="{da358f0e-f683-4fb5-b0e1-8def3f2e7a14}" ma:taxonomyMulti="true" ma:sspId="25c2aa33-f802-416f-a311-ea97a475656c" ma:termSetId="1a14f47f-11ff-4b4d-a00f-1ebe1d5ac58c" ma:anchorId="00000000-0000-0000-0000-000000000000" ma:open="false" ma:isKeyword="false">
      <xsd:complexType>
        <xsd:sequence>
          <xsd:element ref="pc:Terms" minOccurs="0" maxOccurs="1"/>
        </xsd:sequence>
      </xsd:complexType>
    </xsd:element>
    <xsd:element name="bb48fa43295b4f439fc7e65db7c06692" ma:index="23" nillable="true" ma:taxonomy="true" ma:internalName="bb48fa43295b4f439fc7e65db7c06692" ma:taxonomyFieldName="Services" ma:displayName="Services" ma:fieldId="{bb48fa43-295b-4f43-9fc7-e65db7c06692}" ma:taxonomyMulti="true" ma:sspId="25c2aa33-f802-416f-a311-ea97a475656c" ma:termSetId="4c2fc073-23bb-4c1c-acf2-b426c59928f4" ma:anchorId="00000000-0000-0000-0000-000000000000" ma:open="false" ma:isKeyword="false">
      <xsd:complexType>
        <xsd:sequence>
          <xsd:element ref="pc:Terms" minOccurs="0" maxOccurs="1"/>
        </xsd:sequence>
      </xsd:complexType>
    </xsd:element>
    <xsd:element name="a36dabc63ec6436b850783f29946a443" ma:index="25" nillable="true" ma:taxonomy="true" ma:internalName="a36dabc63ec6436b850783f29946a443" ma:taxonomyFieldName="Organisation" ma:displayName="Organisation" ma:fieldId="{a36dabc6-3ec6-436b-8507-83f29946a443}" ma:taxonomyMulti="true" ma:sspId="25c2aa33-f802-416f-a311-ea97a475656c" ma:termSetId="d920a1d6-39ea-4932-8d69-799cf1c28e39" ma:anchorId="00000000-0000-0000-0000-000000000000" ma:open="false" ma:isKeyword="false">
      <xsd:complexType>
        <xsd:sequence>
          <xsd:element ref="pc:Terms" minOccurs="0" maxOccurs="1"/>
        </xsd:sequence>
      </xsd:complexType>
    </xsd:element>
    <xsd:element name="o4633d49e4cc44e387c88698411faa26" ma:index="27" nillable="true" ma:taxonomy="true" ma:internalName="o4633d49e4cc44e387c88698411faa26" ma:taxonomyFieldName="Geography" ma:displayName="Geography" ma:fieldId="{84633d49-e4cc-44e3-87c8-8698411faa26}" ma:taxonomyMulti="true" ma:sspId="25c2aa33-f802-416f-a311-ea97a475656c" ma:termSetId="a6daf25b-fa3c-482c-8292-066c40c1ae1a" ma:anchorId="00000000-0000-0000-0000-000000000000" ma:open="false" ma:isKeyword="false">
      <xsd:complexType>
        <xsd:sequence>
          <xsd:element ref="pc:Terms" minOccurs="0" maxOccurs="1"/>
        </xsd:sequence>
      </xsd:complexType>
    </xsd:element>
    <xsd:element name="e7e30244e04b4964a123d6364eef78c7" ma:index="29" nillable="true" ma:taxonomy="true" ma:internalName="e7e30244e04b4964a123d6364eef78c7" ma:taxonomyFieldName="Confidentiality" ma:displayName="Confidentiality" ma:fieldId="{e7e30244-e04b-4964-a123-d6364eef78c7}" ma:sspId="25c2aa33-f802-416f-a311-ea97a475656c" ma:termSetId="8858d6b5-0ce3-4714-9b56-76dbd3cf9c1d" ma:anchorId="00000000-0000-0000-0000-000000000000" ma:open="false" ma:isKeyword="false">
      <xsd:complexType>
        <xsd:sequence>
          <xsd:element ref="pc:Terms" minOccurs="0" maxOccurs="1"/>
        </xsd:sequence>
      </xsd:complexType>
    </xsd:element>
    <xsd:element name="Proposition" ma:index="30" nillable="true" ma:displayName="Proposition" ma:internalName="Proposition">
      <xsd:simpleType>
        <xsd:restriction base="dms:Text"/>
      </xsd:simpleType>
    </xsd:element>
    <xsd:element name="Other" ma:index="31" nillable="true" ma:displayName="Other" ma:internalName="Other">
      <xsd:simpleType>
        <xsd:restriction base="dms:Text"/>
      </xsd:simpleType>
    </xsd:element>
    <xsd:element name="Job_x0020_code" ma:index="32" nillable="true" ma:displayName="Job code" ma:internalName="Job_x0020_code">
      <xsd:simpleType>
        <xsd:restriction base="dms:Text"/>
      </xsd:simpleType>
    </xsd:element>
    <xsd:element name="Prospect_x0020_code" ma:index="33" nillable="true" ma:displayName="Prospect code" ma:internalName="Prospect_x0020_code">
      <xsd:simpleType>
        <xsd:restriction base="dms:Text"/>
      </xsd:simpleType>
    </xsd:element>
    <xsd:element name="Client" ma:index="34" nillable="true" ma:displayName="Client" ma:internalName="Client">
      <xsd:simpleType>
        <xsd:restriction base="dms:Text"/>
      </xsd:simpleType>
    </xsd:element>
    <xsd:element name="Site_x0020_type" ma:index="35" nillable="true" ma:displayName="Site type" ma:internalName="Site_x0020_typ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ite_x0020_type xmlns="36edc812-9e9f-42a5-a30d-c3a9bcd00741" xsi:nil="true"/>
    <Administrator xmlns="36edc812-9e9f-42a5-a30d-c3a9bcd00741">
      <UserInfo>
        <DisplayName/>
        <AccountId xsi:nil="true"/>
        <AccountType/>
      </UserInfo>
    </Administrator>
    <Client xmlns="36edc812-9e9f-42a5-a30d-c3a9bcd00741" xsi:nil="true"/>
    <ReportOwner xmlns="http://schemas.microsoft.com/sharepoint/v3">
      <UserInfo>
        <DisplayName/>
        <AccountId xsi:nil="true"/>
        <AccountType/>
      </UserInfo>
    </ReportOwner>
    <bb48fa43295b4f439fc7e65db7c06692 xmlns="36edc812-9e9f-42a5-a30d-c3a9bcd00741">
      <Terms xmlns="http://schemas.microsoft.com/office/infopath/2007/PartnerControls"/>
    </bb48fa43295b4f439fc7e65db7c06692>
    <Site_x0020_name xmlns="36edc812-9e9f-42a5-a30d-c3a9bcd00741" xsi:nil="true"/>
    <o4633d49e4cc44e387c88698411faa26 xmlns="36edc812-9e9f-42a5-a30d-c3a9bcd00741">
      <Terms xmlns="http://schemas.microsoft.com/office/infopath/2007/PartnerControls"/>
    </o4633d49e4cc44e387c88698411faa26>
    <RateValue xmlns="http://schemas.microsoft.com/sharepoint/v3" xsi:nil="true"/>
    <Member xmlns="36edc812-9e9f-42a5-a30d-c3a9bcd00741">
      <UserInfo>
        <DisplayName/>
        <AccountId xsi:nil="true"/>
        <AccountType/>
      </UserInfo>
    </Member>
    <RateStorage xmlns="http://schemas.microsoft.com/sharepoint/v3" xsi:nil="true"/>
    <a36dabc63ec6436b850783f29946a443 xmlns="36edc812-9e9f-42a5-a30d-c3a9bcd00741">
      <Terms xmlns="http://schemas.microsoft.com/office/infopath/2007/PartnerControls"/>
    </a36dabc63ec6436b850783f29946a443>
    <Prospect_x0020_code xmlns="36edc812-9e9f-42a5-a30d-c3a9bcd00741" xsi:nil="true"/>
    <Proposition xmlns="36edc812-9e9f-42a5-a30d-c3a9bcd00741" xsi:nil="true"/>
    <TaxCatchAll xmlns="36edc812-9e9f-42a5-a30d-c3a9bcd00741"/>
    <RateComments xmlns="http://schemas.microsoft.com/sharepoint/v3" xsi:nil="true"/>
    <e7e30244e04b4964a123d6364eef78c7 xmlns="36edc812-9e9f-42a5-a30d-c3a9bcd00741">
      <Terms xmlns="http://schemas.microsoft.com/office/infopath/2007/PartnerControls"/>
    </e7e30244e04b4964a123d6364eef78c7>
    <h245cd1404804f2b87749efa01ef63fa xmlns="36edc812-9e9f-42a5-a30d-c3a9bcd00741">
      <Terms xmlns="http://schemas.microsoft.com/office/infopath/2007/PartnerControls"/>
    </h245cd1404804f2b87749efa01ef63fa>
    <Second_x0020_owner xmlns="36edc812-9e9f-42a5-a30d-c3a9bcd00741">
      <UserInfo>
        <DisplayName/>
        <AccountId xsi:nil="true"/>
        <AccountType/>
      </UserInfo>
    </Second_x0020_owner>
    <Job_x0020_code xmlns="36edc812-9e9f-42a5-a30d-c3a9bcd00741" xsi:nil="true"/>
    <Other xmlns="36edc812-9e9f-42a5-a30d-c3a9bcd00741" xsi:nil="true"/>
    <Manager xmlns="36edc812-9e9f-42a5-a30d-c3a9bcd00741">
      <UserInfo>
        <DisplayName/>
        <AccountId xsi:nil="true"/>
        <AccountType/>
      </UserInfo>
    </Manager>
    <da358f0ef6834fb5b0e18def3f2e7a14 xmlns="36edc812-9e9f-42a5-a30d-c3a9bcd00741">
      <Terms xmlns="http://schemas.microsoft.com/office/infopath/2007/PartnerControls"/>
    </da358f0ef6834fb5b0e18def3f2e7a14>
  </documentManagement>
</p:properties>
</file>

<file path=customXml/itemProps1.xml><?xml version="1.0" encoding="utf-8"?>
<ds:datastoreItem xmlns:ds="http://schemas.openxmlformats.org/officeDocument/2006/customXml" ds:itemID="{4CD795F6-BD6B-4C6E-BA59-F745B0E7CF60}">
  <ds:schemaRefs>
    <ds:schemaRef ds:uri="http://schemas.microsoft.com/sharepoint/v3/contenttype/forms"/>
  </ds:schemaRefs>
</ds:datastoreItem>
</file>

<file path=customXml/itemProps2.xml><?xml version="1.0" encoding="utf-8"?>
<ds:datastoreItem xmlns:ds="http://schemas.openxmlformats.org/officeDocument/2006/customXml" ds:itemID="{B326B429-4D6E-47C3-B15F-3E768EC040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6edc812-9e9f-42a5-a30d-c3a9bcd007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261AAD-0B5C-4014-8AA7-823AB96FC308}">
  <ds:schemaRefs>
    <ds:schemaRef ds:uri="http://purl.org/dc/dcmitype/"/>
    <ds:schemaRef ds:uri="http://schemas.microsoft.com/office/2006/documentManagement/types"/>
    <ds:schemaRef ds:uri="36edc812-9e9f-42a5-a30d-c3a9bcd00741"/>
    <ds:schemaRef ds:uri="http://purl.org/dc/elements/1.1/"/>
    <ds:schemaRef ds:uri="http://purl.org/dc/terms/"/>
    <ds:schemaRef ds:uri="http://schemas.openxmlformats.org/package/2006/metadata/core-properties"/>
    <ds:schemaRef ds:uri="http://schemas.microsoft.com/sharepoint/v3"/>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Instruction &amp; apportionment</vt:lpstr>
      <vt:lpstr>PA Share price table</vt:lpstr>
      <vt:lpstr>PA Share History</vt:lpstr>
      <vt:lpstr>s104 holdings</vt:lpstr>
      <vt:lpstr>Ipex &amp; PACG Redeemable shares</vt:lpstr>
      <vt:lpstr>1516 TR pages</vt:lpstr>
      <vt:lpstr>1415 TR pages</vt:lpstr>
      <vt:lpstr>1314 TR pages</vt:lpstr>
      <vt:lpstr>1213 TR pages</vt:lpstr>
      <vt:lpstr>1112 TR pages</vt:lpstr>
      <vt:lpstr>1011 TR pages</vt:lpstr>
      <vt:lpstr>0910 TR pages</vt:lpstr>
      <vt:lpstr>0809 TR pages</vt:lpstr>
      <vt:lpstr>'0809 TR pages'!Print_Area</vt:lpstr>
      <vt:lpstr>'0910 TR pages'!Print_Area</vt:lpstr>
      <vt:lpstr>'1011 TR pages'!Print_Area</vt:lpstr>
      <vt:lpstr>'1112 TR pages'!Print_Area</vt:lpstr>
      <vt:lpstr>'1213 TR pages'!Print_Area</vt:lpstr>
      <vt:lpstr>'1314 TR pages'!Print_Area</vt:lpstr>
      <vt:lpstr>'1415 TR pages'!Print_Area</vt:lpstr>
      <vt:lpstr>'1516 TR pages'!Print_Area</vt:lpstr>
      <vt:lpstr>'Instruction &amp; apportionment'!Print_Area</vt:lpstr>
      <vt:lpstr>'Ipex &amp; PACG Redeemable shares'!Print_Area</vt:lpstr>
      <vt:lpstr>'PA Share History'!Print_Area</vt:lpstr>
      <vt:lpstr>'PA Share price table'!Print_Area</vt:lpstr>
      <vt:lpstr>'s104 holdings'!Print_Area</vt:lpstr>
    </vt:vector>
  </TitlesOfParts>
  <Company>PA Consulting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Full Name</dc:creator>
  <cp:lastModifiedBy>Darshni Solanki</cp:lastModifiedBy>
  <cp:lastPrinted>2016-06-01T13:33:02Z</cp:lastPrinted>
  <dcterms:created xsi:type="dcterms:W3CDTF">2009-03-04T10:52:03Z</dcterms:created>
  <dcterms:modified xsi:type="dcterms:W3CDTF">2020-08-20T13:09:54Z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A Classification">
    <vt:lpwstr/>
  </property>
  <property fmtid="{D5CDD505-2E9C-101B-9397-08002B2CF9AE}" pid="3" name="Accounts">
    <vt:lpwstr/>
  </property>
  <property fmtid="{D5CDD505-2E9C-101B-9397-08002B2CF9AE}" pid="4" name="Geography">
    <vt:lpwstr/>
  </property>
  <property fmtid="{D5CDD505-2E9C-101B-9397-08002B2CF9AE}" pid="5" name="Organisation">
    <vt:lpwstr/>
  </property>
  <property fmtid="{D5CDD505-2E9C-101B-9397-08002B2CF9AE}" pid="6" name="ContentTypeId">
    <vt:lpwstr>0x0101001B940DAB6AD6487085FD25BA3A462A9F005362804AAEBF4299ABE7ECAB24B53313005ACA7E082C3B694A99AA3DBFAA996377</vt:lpwstr>
  </property>
  <property fmtid="{D5CDD505-2E9C-101B-9397-08002B2CF9AE}" pid="7" name="Services">
    <vt:lpwstr/>
  </property>
  <property fmtid="{D5CDD505-2E9C-101B-9397-08002B2CF9AE}" pid="8" name="Owner">
    <vt:lpwstr>1180;#Tamara Doedee</vt:lpwstr>
  </property>
  <property fmtid="{D5CDD505-2E9C-101B-9397-08002B2CF9AE}" pid="9" name="Sector">
    <vt:lpwstr/>
  </property>
  <property fmtid="{D5CDD505-2E9C-101B-9397-08002B2CF9AE}" pid="10" name="Confidentiality">
    <vt:lpwstr/>
  </property>
  <property fmtid="{D5CDD505-2E9C-101B-9397-08002B2CF9AE}" pid="11" name="SV_QUERY_LIST_4F35BF76-6C0D-4D9B-82B2-816C12CF3733">
    <vt:lpwstr>empty_477D106A-C0D6-4607-AEBD-E2C9D60EA279</vt:lpwstr>
  </property>
</Properties>
</file>