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68" windowWidth="20736" windowHeight="9912"/>
  </bookViews>
  <sheets>
    <sheet name="Version &amp; Notes" sheetId="12" r:id="rId1"/>
    <sheet name="Your PA share history" sheetId="9" r:id="rId2"/>
    <sheet name="Skattemæssig værdi af PA aktier" sheetId="1" r:id="rId3"/>
    <sheet name="Skattemæssig værdi 2015" sheetId="14" r:id="rId4"/>
    <sheet name="Skattemæssig værdi 2014" sheetId="13" r:id="rId5"/>
    <sheet name="Skattemæssig værdi 2013" sheetId="2" r:id="rId6"/>
    <sheet name="PA Share price table" sheetId="11" r:id="rId7"/>
  </sheets>
  <externalReferences>
    <externalReference r:id="rId8"/>
  </externalReferences>
  <definedNames>
    <definedName name="CombinedTotals" localSheetId="6">#REF!</definedName>
    <definedName name="CombinedTotals" localSheetId="4">#REF!</definedName>
    <definedName name="CombinedTotals" localSheetId="3">#REF!</definedName>
    <definedName name="CombinedTotals">#REF!</definedName>
    <definedName name="ddm" localSheetId="6">'PA Share price table'!ddm</definedName>
    <definedName name="ddm">[0]!ddm</definedName>
    <definedName name="Dealing_dates">[1]!FXRates_Table[#Headers]</definedName>
    <definedName name="Globa" localSheetId="6">'PA Share price table'!Globa</definedName>
    <definedName name="Globa">[0]!Globa</definedName>
    <definedName name="Global" localSheetId="6">'PA Share price table'!Global</definedName>
    <definedName name="Global">[0]!Global</definedName>
    <definedName name="LC_Codes">[1]!FXRates_Table[[#All],[Currency code]]</definedName>
    <definedName name="LC_Cost" localSheetId="4">#REF!</definedName>
    <definedName name="LC_Cost" localSheetId="3">#REF!</definedName>
    <definedName name="LC_Cost">#REF!</definedName>
    <definedName name="LC_Price" localSheetId="4">#REF!</definedName>
    <definedName name="LC_Price" localSheetId="3">#REF!</definedName>
    <definedName name="LC_Price">#REF!</definedName>
    <definedName name="LC_UKStamp" localSheetId="4">#REF!</definedName>
    <definedName name="LC_UKStamp" localSheetId="3">#REF!</definedName>
    <definedName name="LC_UKStamp">#REF!</definedName>
    <definedName name="Macauto" localSheetId="6">'PA Share price table'!Macauto</definedName>
    <definedName name="Macauto">[0]!Macauto</definedName>
    <definedName name="Macro1" localSheetId="6">'PA Share price table'!Macro1</definedName>
    <definedName name="Macro1">[0]!Macro1</definedName>
    <definedName name="Macro10" localSheetId="6">'PA Share price table'!Macro10</definedName>
    <definedName name="Macro10">[0]!Macro10</definedName>
    <definedName name="Macro11" localSheetId="6">'PA Share price table'!Macro11</definedName>
    <definedName name="Macro11">[0]!Macro11</definedName>
    <definedName name="Macro13" localSheetId="6">'PA Share price table'!Macro13</definedName>
    <definedName name="Macro13">[0]!Macro13</definedName>
    <definedName name="Macro2" localSheetId="6">'PA Share price table'!Macro2</definedName>
    <definedName name="Macro2">[0]!Macro2</definedName>
    <definedName name="Macro3" localSheetId="6">'PA Share price table'!Macro3</definedName>
    <definedName name="Macro3">[0]!Macro3</definedName>
    <definedName name="Macro5" localSheetId="6">'PA Share price table'!Macro5</definedName>
    <definedName name="Macro5">[0]!Macro5</definedName>
    <definedName name="Macro7" localSheetId="6">'PA Share price table'!Macro7</definedName>
    <definedName name="Macro7">[0]!Macro7</definedName>
    <definedName name="PAShareHistory" localSheetId="6">#REF!</definedName>
    <definedName name="PAShareHistory" localSheetId="4">#REF!</definedName>
    <definedName name="PAShareHistory" localSheetId="3">#REF!</definedName>
    <definedName name="PAShareHistory">#REF!</definedName>
    <definedName name="PAShareMessage" localSheetId="4">#REF!</definedName>
    <definedName name="PAShareMessage" localSheetId="3">#REF!</definedName>
    <definedName name="PAShareMessage">#REF!</definedName>
    <definedName name="_xlnm.Print_Area" localSheetId="6">'PA Share price table'!$A$1:$F$47</definedName>
    <definedName name="_xlnm.Print_Area" localSheetId="5">'Skattemæssig værdi 2013'!$A$1:$H$111</definedName>
    <definedName name="_xlnm.Print_Area" localSheetId="4">'Skattemæssig værdi 2014'!$A$1:$H$52</definedName>
    <definedName name="_xlnm.Print_Area" localSheetId="3">'Skattemæssig værdi 2015'!$A$1:$H$51</definedName>
    <definedName name="_xlnm.Print_Area" localSheetId="2">'Skattemæssig værdi af PA aktier'!$A$1:$P$93</definedName>
    <definedName name="_xlnm.Print_Area" localSheetId="0">'Version &amp; Notes'!$A$1:$C$42</definedName>
    <definedName name="_xlnm.Print_Area" localSheetId="1">'Your PA share history'!$A$1:$S$28</definedName>
    <definedName name="RestrictedCumulativeTotal" localSheetId="6">#REF!</definedName>
    <definedName name="RestrictedCumulativeTotal" localSheetId="4">#REF!</definedName>
    <definedName name="RestrictedCumulativeTotal" localSheetId="3">#REF!</definedName>
    <definedName name="RestrictedCumulativeTotal">#REF!</definedName>
    <definedName name="RestrictedHeaderRow" localSheetId="6">#REF!</definedName>
    <definedName name="RestrictedHeaderRow" localSheetId="4">#REF!</definedName>
    <definedName name="RestrictedHeaderRow" localSheetId="3">#REF!</definedName>
    <definedName name="RestrictedHeaderRow">#REF!</definedName>
    <definedName name="RestrictedTotalPurchases" localSheetId="6">#REF!</definedName>
    <definedName name="RestrictedTotalPurchases" localSheetId="4">#REF!</definedName>
    <definedName name="RestrictedTotalPurchases" localSheetId="3">#REF!</definedName>
    <definedName name="RestrictedTotalPurchases">#REF!</definedName>
    <definedName name="SelectedCurrencyCode" localSheetId="4">#REF!</definedName>
    <definedName name="SelectedCurrencyCode" localSheetId="3">#REF!</definedName>
    <definedName name="SelectedCurrencyCode">#REF!</definedName>
    <definedName name="Shareholder_name" localSheetId="4">#REF!</definedName>
    <definedName name="Shareholder_name" localSheetId="3">#REF!</definedName>
    <definedName name="Shareholder_name">#REF!</definedName>
    <definedName name="Shareholder_reference" localSheetId="4">#REF!</definedName>
    <definedName name="Shareholder_reference" localSheetId="3">#REF!</definedName>
    <definedName name="Shareholder_reference">#REF!</definedName>
    <definedName name="temp" localSheetId="6">'PA Share price table'!temp</definedName>
    <definedName name="temp">[0]!temp</definedName>
    <definedName name="Tim.All" localSheetId="6">'PA Share price table'!Tim.All</definedName>
    <definedName name="Tim.All">[0]!Tim.All</definedName>
    <definedName name="Tim.goto1" localSheetId="6">'PA Share price table'!Tim.goto1</definedName>
    <definedName name="Tim.goto1">[0]!Tim.goto1</definedName>
    <definedName name="Tim.goto11" localSheetId="6">'PA Share price table'!Tim.goto11</definedName>
    <definedName name="Tim.goto11">[0]!Tim.goto11</definedName>
    <definedName name="Tim.goto12" localSheetId="6">'PA Share price table'!Tim.goto12</definedName>
    <definedName name="Tim.goto12">[0]!Tim.goto12</definedName>
    <definedName name="Tim.goto13" localSheetId="6">'PA Share price table'!Tim.goto13</definedName>
    <definedName name="Tim.goto13">[0]!Tim.goto13</definedName>
    <definedName name="Tim.goto15" localSheetId="6">'PA Share price table'!Tim.goto15</definedName>
    <definedName name="Tim.goto15">[0]!Tim.goto15</definedName>
    <definedName name="Tim.goto16" localSheetId="6">'PA Share price table'!Tim.goto16</definedName>
    <definedName name="Tim.goto16">[0]!Tim.goto16</definedName>
    <definedName name="Tim.goto17" localSheetId="6">'PA Share price table'!Tim.goto17</definedName>
    <definedName name="Tim.goto17">[0]!Tim.goto17</definedName>
    <definedName name="Tim.goto18" localSheetId="6">'PA Share price table'!Tim.goto18</definedName>
    <definedName name="Tim.goto18">[0]!Tim.goto18</definedName>
    <definedName name="Tim.goto19" localSheetId="6">'PA Share price table'!Tim.goto19</definedName>
    <definedName name="Tim.goto19">[0]!Tim.goto19</definedName>
    <definedName name="Tim.goto2" localSheetId="6">'PA Share price table'!Tim.goto2</definedName>
    <definedName name="Tim.goto2">[0]!Tim.goto2</definedName>
    <definedName name="Tim.goto20" localSheetId="6">'PA Share price table'!Tim.goto20</definedName>
    <definedName name="Tim.goto20">[0]!Tim.goto20</definedName>
    <definedName name="Tim.goto21" localSheetId="6">'PA Share price table'!Tim.goto21</definedName>
    <definedName name="Tim.goto21">[0]!Tim.goto21</definedName>
    <definedName name="Tim.goto22" localSheetId="6">'PA Share price table'!Tim.goto22</definedName>
    <definedName name="Tim.goto22">[0]!Tim.goto22</definedName>
    <definedName name="Tim.goto23" localSheetId="6">'PA Share price table'!Tim.goto23</definedName>
    <definedName name="Tim.goto23">[0]!Tim.goto23</definedName>
    <definedName name="Tim.goto24" localSheetId="6">'PA Share price table'!Tim.goto24</definedName>
    <definedName name="Tim.goto24">[0]!Tim.goto24</definedName>
    <definedName name="Tim.goto25" localSheetId="6">'PA Share price table'!Tim.goto25</definedName>
    <definedName name="Tim.goto25">[0]!Tim.goto25</definedName>
    <definedName name="Tim.goto3" localSheetId="6">'PA Share price table'!Tim.goto3</definedName>
    <definedName name="Tim.goto3">[0]!Tim.goto3</definedName>
    <definedName name="Tim.goto4" localSheetId="6">'PA Share price table'!Tim.goto4</definedName>
    <definedName name="Tim.goto4">[0]!Tim.goto4</definedName>
    <definedName name="Tim.goto5" localSheetId="6">'PA Share price table'!Tim.goto5</definedName>
    <definedName name="Tim.goto5">[0]!Tim.goto5</definedName>
    <definedName name="Tim.goto6" localSheetId="6">'PA Share price table'!Tim.goto6</definedName>
    <definedName name="Tim.goto6">[0]!Tim.goto6</definedName>
    <definedName name="Tim.goto7" localSheetId="6">'PA Share price table'!Tim.goto7</definedName>
    <definedName name="Tim.goto7">[0]!Tim.goto7</definedName>
    <definedName name="Tim.goto8" localSheetId="6">'PA Share price table'!Tim.goto8</definedName>
    <definedName name="Tim.goto8">[0]!Tim.goto8</definedName>
    <definedName name="Tim.PrinterMac" localSheetId="6">'PA Share price table'!Tim.PrinterMac</definedName>
    <definedName name="Tim.PrinterMac">[0]!Tim.PrinterMac</definedName>
    <definedName name="Tim.Summary_adj2" localSheetId="6">'PA Share price table'!Tim.Summary_adj2</definedName>
    <definedName name="Tim.Summary_adj2">[0]!Tim.Summary_adj2</definedName>
    <definedName name="Tim.Summary_gs2" localSheetId="6">'PA Share price table'!Tim.Summary_gs2</definedName>
    <definedName name="Tim.Summary_gs2">[0]!Tim.Summary_gs2</definedName>
    <definedName name="Tim.Summary_gu2" localSheetId="6">'PA Share price table'!Tim.Summary_gu2</definedName>
    <definedName name="Tim.Summary_gu2">[0]!Tim.Summary_gu2</definedName>
    <definedName name="Tim.Summary_ws2" localSheetId="6">'PA Share price table'!Tim.Summary_ws2</definedName>
    <definedName name="Tim.Summary_ws2">[0]!Tim.Summary_ws2</definedName>
    <definedName name="Tim.USformat" localSheetId="6">'PA Share price table'!Tim.USformat</definedName>
    <definedName name="Tim.USformat">[0]!Tim.USformat</definedName>
    <definedName name="tryit" localSheetId="6">'PA Share price table'!tryit</definedName>
    <definedName name="tryit">[0]!tryit</definedName>
    <definedName name="tryit2" localSheetId="6">'PA Share price table'!tryit2</definedName>
    <definedName name="tryit2">[0]!tryit2</definedName>
    <definedName name="UnRestrictedCumulativeTotal" localSheetId="6">#REF!</definedName>
    <definedName name="UnRestrictedCumulativeTotal" localSheetId="4">#REF!</definedName>
    <definedName name="UnRestrictedCumulativeTotal" localSheetId="3">#REF!</definedName>
    <definedName name="UnRestrictedCumulativeTotal">#REF!</definedName>
    <definedName name="UnRestrictedHeaderRow" localSheetId="4">#REF!</definedName>
    <definedName name="UnRestrictedHeaderRow" localSheetId="3">#REF!</definedName>
    <definedName name="UnRestrictedHeaderRow">#REF!</definedName>
    <definedName name="UnRestrictedTotalPurchases" localSheetId="4">#REF!</definedName>
    <definedName name="UnRestrictedTotalPurchases" localSheetId="3">#REF!</definedName>
    <definedName name="UnRestrictedTotalPurchases">#REF!</definedName>
    <definedName name="UnRestrictedTotalSales" localSheetId="4">#REF!</definedName>
    <definedName name="UnRestrictedTotalSales" localSheetId="3">#REF!</definedName>
    <definedName name="UnRestrictedTotalSales">#REF!</definedName>
    <definedName name="Version_No" localSheetId="4">#REF!</definedName>
    <definedName name="Version_No" localSheetId="3">#REF!</definedName>
    <definedName name="Version_No">#REF!</definedName>
    <definedName name="wrn.Corporate." localSheetId="6" hidden="1">{"Corporate",#N/A,FALSE,"Sorted by database"}</definedName>
    <definedName name="wrn.Corporate." hidden="1">{"Corporate",#N/A,FALSE,"Sorted by database"}</definedName>
    <definedName name="wrn.MOS4." localSheetId="6" hidden="1">{"MOS4",#N/A,FALSE,"Sorted by database"}</definedName>
    <definedName name="wrn.MOS4." hidden="1">{"MOS4",#N/A,FALSE,"Sorted by database"}</definedName>
    <definedName name="wrn.Offices." localSheetId="6" hidden="1">{"Offices",#N/A,FALSE,"Sorted by database"}</definedName>
    <definedName name="wrn.Offices." hidden="1">{"Offices",#N/A,FALSE,"Sorted by database"}</definedName>
    <definedName name="wrn.Practices." localSheetId="6" hidden="1">{"Practices",#N/A,FALSE,"Sorted by database"}</definedName>
    <definedName name="wrn.Practices." hidden="1">{"Practices",#N/A,FALSE,"Sorted by database"}</definedName>
    <definedName name="wrn.Support." localSheetId="6" hidden="1">{"Support",#N/A,FALSE,"Sorted by database"}</definedName>
    <definedName name="wrn.Support." hidden="1">{"Support",#N/A,FALSE,"Sorted by database"}</definedName>
  </definedNames>
  <calcPr calcId="145621"/>
</workbook>
</file>

<file path=xl/calcChain.xml><?xml version="1.0" encoding="utf-8"?>
<calcChain xmlns="http://schemas.openxmlformats.org/spreadsheetml/2006/main">
  <c r="N82" i="1" l="1"/>
  <c r="K83" i="1" l="1"/>
  <c r="K85" i="1" s="1"/>
  <c r="K84" i="1"/>
  <c r="K21" i="9" l="1"/>
  <c r="C23" i="14" l="1"/>
  <c r="I78" i="1" l="1"/>
  <c r="I70" i="1"/>
  <c r="I69" i="1"/>
  <c r="F50" i="11" l="1"/>
  <c r="F49" i="11"/>
  <c r="H13" i="1"/>
  <c r="O63" i="1" l="1"/>
  <c r="N63" i="1"/>
  <c r="AD60" i="1" l="1"/>
  <c r="AD61" i="1"/>
  <c r="AD62" i="1"/>
  <c r="AD63" i="1"/>
  <c r="AD64" i="1"/>
  <c r="AD65" i="1"/>
  <c r="AD66" i="1"/>
  <c r="AD67" i="1"/>
  <c r="AD68" i="1"/>
  <c r="AD69" i="1"/>
  <c r="AD70" i="1"/>
  <c r="AD71" i="1"/>
  <c r="AD72" i="1"/>
  <c r="AD73" i="1"/>
  <c r="AD74" i="1"/>
  <c r="AD75" i="1"/>
  <c r="AD76" i="1"/>
  <c r="AD77" i="1"/>
  <c r="AD78" i="1"/>
  <c r="AC60" i="1"/>
  <c r="AC61" i="1"/>
  <c r="AC62" i="1"/>
  <c r="AC63" i="1"/>
  <c r="AC64" i="1"/>
  <c r="AC65" i="1"/>
  <c r="AC66" i="1"/>
  <c r="AC67" i="1"/>
  <c r="AC68" i="1"/>
  <c r="AC69" i="1"/>
  <c r="AC70" i="1"/>
  <c r="AC71" i="1"/>
  <c r="AC72" i="1"/>
  <c r="AC73" i="1"/>
  <c r="AC74" i="1"/>
  <c r="AC75" i="1"/>
  <c r="AC76" i="1"/>
  <c r="AC77" i="1"/>
  <c r="AC78" i="1"/>
  <c r="AB60" i="1"/>
  <c r="AB61" i="1"/>
  <c r="AB62" i="1"/>
  <c r="AB63" i="1"/>
  <c r="AB64" i="1"/>
  <c r="AB65" i="1"/>
  <c r="AB66" i="1"/>
  <c r="AB67" i="1"/>
  <c r="AB68" i="1"/>
  <c r="AB69" i="1"/>
  <c r="AB70" i="1"/>
  <c r="AB71" i="1"/>
  <c r="AE71" i="1" s="1"/>
  <c r="C16" i="14" s="1"/>
  <c r="AB72" i="1"/>
  <c r="AB73" i="1"/>
  <c r="AE73" i="1" s="1"/>
  <c r="C18" i="14" s="1"/>
  <c r="AB74" i="1"/>
  <c r="AB75" i="1"/>
  <c r="AE75" i="1" s="1"/>
  <c r="C20" i="14" s="1"/>
  <c r="AB76" i="1"/>
  <c r="AB77" i="1"/>
  <c r="AE77" i="1" s="1"/>
  <c r="C22" i="14" s="1"/>
  <c r="AB78" i="1"/>
  <c r="Y60" i="1"/>
  <c r="Y61" i="1"/>
  <c r="Y62" i="1"/>
  <c r="Y63" i="1"/>
  <c r="Y64" i="1"/>
  <c r="Y65" i="1"/>
  <c r="Y66" i="1"/>
  <c r="Y67" i="1"/>
  <c r="Y68" i="1"/>
  <c r="Y69" i="1"/>
  <c r="Y70" i="1"/>
  <c r="Y71" i="1"/>
  <c r="Y72" i="1"/>
  <c r="Y73" i="1"/>
  <c r="Y74" i="1"/>
  <c r="Y75" i="1"/>
  <c r="Y76" i="1"/>
  <c r="Y77" i="1"/>
  <c r="Y78" i="1"/>
  <c r="X60" i="1"/>
  <c r="X61" i="1"/>
  <c r="X62" i="1"/>
  <c r="X63" i="1"/>
  <c r="X64" i="1"/>
  <c r="X65" i="1"/>
  <c r="X66" i="1"/>
  <c r="X67" i="1"/>
  <c r="X68" i="1"/>
  <c r="X69" i="1"/>
  <c r="X70" i="1"/>
  <c r="X71" i="1"/>
  <c r="Z71" i="1" s="1"/>
  <c r="C16" i="13" s="1"/>
  <c r="X72" i="1"/>
  <c r="X73" i="1"/>
  <c r="X74" i="1"/>
  <c r="X75" i="1"/>
  <c r="X76" i="1"/>
  <c r="X77" i="1"/>
  <c r="X78" i="1"/>
  <c r="W60" i="1"/>
  <c r="W61" i="1"/>
  <c r="W62" i="1"/>
  <c r="W63" i="1"/>
  <c r="W64" i="1"/>
  <c r="W65" i="1"/>
  <c r="W66" i="1"/>
  <c r="W67" i="1"/>
  <c r="W68" i="1"/>
  <c r="W69" i="1"/>
  <c r="W70" i="1"/>
  <c r="Z70" i="1" s="1"/>
  <c r="C15" i="13" s="1"/>
  <c r="W71" i="1"/>
  <c r="W72" i="1"/>
  <c r="Z72" i="1" s="1"/>
  <c r="C17" i="13" s="1"/>
  <c r="W73" i="1"/>
  <c r="W74" i="1"/>
  <c r="Z74" i="1" s="1"/>
  <c r="C19" i="13" s="1"/>
  <c r="W75" i="1"/>
  <c r="Z75" i="1" s="1"/>
  <c r="C20" i="13" s="1"/>
  <c r="W76" i="1"/>
  <c r="Z76" i="1" s="1"/>
  <c r="C21" i="13" s="1"/>
  <c r="W77" i="1"/>
  <c r="W78" i="1"/>
  <c r="Z78" i="1" s="1"/>
  <c r="C23" i="13" s="1"/>
  <c r="T60" i="1"/>
  <c r="T61" i="1"/>
  <c r="T62" i="1"/>
  <c r="T63" i="1"/>
  <c r="T64" i="1"/>
  <c r="T65" i="1"/>
  <c r="T66" i="1"/>
  <c r="T67" i="1"/>
  <c r="T68" i="1"/>
  <c r="T69" i="1"/>
  <c r="T70" i="1"/>
  <c r="T71" i="1"/>
  <c r="T72" i="1"/>
  <c r="T73" i="1"/>
  <c r="T74" i="1"/>
  <c r="T75" i="1"/>
  <c r="T76" i="1"/>
  <c r="T77" i="1"/>
  <c r="T78" i="1"/>
  <c r="S75" i="1"/>
  <c r="S76" i="1"/>
  <c r="S77" i="1"/>
  <c r="S78" i="1"/>
  <c r="S60" i="1"/>
  <c r="S61" i="1"/>
  <c r="S62" i="1"/>
  <c r="S63" i="1"/>
  <c r="S64" i="1"/>
  <c r="S65" i="1"/>
  <c r="S66" i="1"/>
  <c r="S67" i="1"/>
  <c r="S68" i="1"/>
  <c r="S69" i="1"/>
  <c r="S70" i="1"/>
  <c r="S71" i="1"/>
  <c r="S72" i="1"/>
  <c r="S73" i="1"/>
  <c r="S74" i="1"/>
  <c r="R60" i="1"/>
  <c r="R61" i="1"/>
  <c r="R62" i="1"/>
  <c r="R63" i="1"/>
  <c r="R64" i="1"/>
  <c r="R65" i="1"/>
  <c r="R66" i="1"/>
  <c r="R67" i="1"/>
  <c r="R68" i="1"/>
  <c r="R69" i="1"/>
  <c r="R70" i="1"/>
  <c r="R71" i="1"/>
  <c r="U71" i="1" s="1"/>
  <c r="C63" i="2" s="1"/>
  <c r="R72" i="1"/>
  <c r="R73" i="1"/>
  <c r="U73" i="1" s="1"/>
  <c r="C65" i="2" s="1"/>
  <c r="R74" i="1"/>
  <c r="R75" i="1"/>
  <c r="U75" i="1" s="1"/>
  <c r="C67" i="2" s="1"/>
  <c r="R76" i="1"/>
  <c r="U76" i="1" s="1"/>
  <c r="C68" i="2" s="1"/>
  <c r="R77" i="1"/>
  <c r="U77" i="1" s="1"/>
  <c r="C69" i="2" s="1"/>
  <c r="R78" i="1"/>
  <c r="U78" i="1" s="1"/>
  <c r="C70" i="2" s="1"/>
  <c r="P78" i="1"/>
  <c r="O78" i="1"/>
  <c r="N78" i="1"/>
  <c r="P61" i="1"/>
  <c r="P67" i="1"/>
  <c r="P68" i="1"/>
  <c r="P70" i="1"/>
  <c r="P71" i="1"/>
  <c r="P72" i="1"/>
  <c r="P73" i="1"/>
  <c r="P74" i="1"/>
  <c r="P75" i="1"/>
  <c r="P76" i="1"/>
  <c r="P77" i="1"/>
  <c r="O61" i="1"/>
  <c r="O67" i="1"/>
  <c r="O68" i="1"/>
  <c r="O70" i="1"/>
  <c r="O71" i="1"/>
  <c r="O72" i="1"/>
  <c r="O73" i="1"/>
  <c r="O74" i="1"/>
  <c r="O75" i="1"/>
  <c r="O76" i="1"/>
  <c r="O77" i="1"/>
  <c r="N61" i="1"/>
  <c r="N67" i="1"/>
  <c r="N68" i="1"/>
  <c r="N70" i="1"/>
  <c r="N71" i="1"/>
  <c r="N72" i="1"/>
  <c r="N73" i="1"/>
  <c r="N74" i="1"/>
  <c r="N75" i="1"/>
  <c r="N76" i="1"/>
  <c r="N77" i="1"/>
  <c r="H78" i="1"/>
  <c r="I75" i="1"/>
  <c r="I76" i="1"/>
  <c r="I77" i="1"/>
  <c r="I71" i="1"/>
  <c r="I72" i="1"/>
  <c r="I73" i="1"/>
  <c r="I74" i="1"/>
  <c r="H75" i="1"/>
  <c r="H76" i="1"/>
  <c r="H77" i="1"/>
  <c r="H66" i="1"/>
  <c r="N66" i="1" s="1"/>
  <c r="H67" i="1"/>
  <c r="I67" i="1" s="1"/>
  <c r="H68" i="1"/>
  <c r="I68" i="1" s="1"/>
  <c r="H69" i="1"/>
  <c r="N69" i="1" s="1"/>
  <c r="H70" i="1"/>
  <c r="H71" i="1"/>
  <c r="H72" i="1"/>
  <c r="H73" i="1"/>
  <c r="H74" i="1"/>
  <c r="H65" i="1"/>
  <c r="N65" i="1" s="1"/>
  <c r="AD59" i="1"/>
  <c r="AC59" i="1"/>
  <c r="AB59" i="1"/>
  <c r="Y59" i="1"/>
  <c r="T59" i="1"/>
  <c r="X59" i="1"/>
  <c r="W59" i="1"/>
  <c r="R59" i="1"/>
  <c r="U67" i="1" l="1"/>
  <c r="C59" i="2" s="1"/>
  <c r="AE67" i="1"/>
  <c r="C12" i="14" s="1"/>
  <c r="U72" i="1"/>
  <c r="C64" i="2" s="1"/>
  <c r="Z67" i="1"/>
  <c r="C12" i="13" s="1"/>
  <c r="AE78" i="1"/>
  <c r="AE74" i="1"/>
  <c r="C19" i="14" s="1"/>
  <c r="AE70" i="1"/>
  <c r="C15" i="14" s="1"/>
  <c r="U74" i="1"/>
  <c r="C66" i="2" s="1"/>
  <c r="U70" i="1"/>
  <c r="C62" i="2" s="1"/>
  <c r="Z77" i="1"/>
  <c r="C22" i="13" s="1"/>
  <c r="Z73" i="1"/>
  <c r="C18" i="13" s="1"/>
  <c r="AE76" i="1"/>
  <c r="C21" i="14" s="1"/>
  <c r="AE72" i="1"/>
  <c r="C17" i="14" s="1"/>
  <c r="U69" i="1"/>
  <c r="C61" i="2" s="1"/>
  <c r="Z69" i="1"/>
  <c r="C14" i="13" s="1"/>
  <c r="AE69" i="1"/>
  <c r="U68" i="1"/>
  <c r="C60" i="2" s="1"/>
  <c r="Z68" i="1"/>
  <c r="C13" i="13" s="1"/>
  <c r="AE68" i="1"/>
  <c r="C13" i="14" s="1"/>
  <c r="U66" i="1"/>
  <c r="C58" i="2" s="1"/>
  <c r="Z66" i="1"/>
  <c r="AE66" i="1"/>
  <c r="C11" i="14" s="1"/>
  <c r="Z65" i="1"/>
  <c r="C10" i="13" s="1"/>
  <c r="U65" i="1"/>
  <c r="C57" i="2" s="1"/>
  <c r="U64" i="1"/>
  <c r="U62" i="1"/>
  <c r="Z62" i="1"/>
  <c r="C7" i="13" s="1"/>
  <c r="AE62" i="1"/>
  <c r="C7" i="14" s="1"/>
  <c r="U60" i="1"/>
  <c r="U63" i="1"/>
  <c r="Z64" i="1"/>
  <c r="C9" i="13" s="1"/>
  <c r="Z60" i="1"/>
  <c r="C5" i="13" s="1"/>
  <c r="Z63" i="1"/>
  <c r="C8" i="13" s="1"/>
  <c r="AE64" i="1"/>
  <c r="AE60" i="1"/>
  <c r="C5" i="14" s="1"/>
  <c r="AE63" i="1"/>
  <c r="C8" i="14" s="1"/>
  <c r="Z59" i="1"/>
  <c r="C4" i="13" s="1"/>
  <c r="U61" i="1"/>
  <c r="C53" i="2" s="1"/>
  <c r="Z61" i="1"/>
  <c r="C6" i="13" s="1"/>
  <c r="AE65" i="1"/>
  <c r="AE61" i="1"/>
  <c r="C6" i="14" s="1"/>
  <c r="P59" i="1"/>
  <c r="O59" i="1"/>
  <c r="N59" i="1"/>
  <c r="H17" i="1"/>
  <c r="AE59" i="1" l="1"/>
  <c r="C4" i="14" s="1"/>
  <c r="F48" i="11" l="1"/>
  <c r="F47" i="11"/>
  <c r="F35" i="2" l="1"/>
  <c r="H20" i="1" l="1"/>
  <c r="H21" i="1"/>
  <c r="I21" i="1" s="1"/>
  <c r="I13" i="1"/>
  <c r="J13" i="1" s="1"/>
  <c r="F106" i="2" l="1"/>
  <c r="F21" i="11" l="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20" i="11"/>
  <c r="N23" i="1" l="1"/>
  <c r="O23" i="1"/>
  <c r="P23" i="1"/>
  <c r="N25" i="1"/>
  <c r="O25" i="1"/>
  <c r="P25" i="1"/>
  <c r="N26" i="1"/>
  <c r="O26" i="1"/>
  <c r="P26" i="1"/>
  <c r="N27" i="1"/>
  <c r="O27" i="1"/>
  <c r="P27" i="1"/>
  <c r="N29" i="1"/>
  <c r="O29" i="1"/>
  <c r="P29" i="1"/>
  <c r="N30" i="1"/>
  <c r="O30" i="1"/>
  <c r="P30" i="1"/>
  <c r="N20" i="1"/>
  <c r="P19" i="1"/>
  <c r="O19" i="1"/>
  <c r="N19" i="1"/>
  <c r="P18" i="1"/>
  <c r="O18" i="1"/>
  <c r="N18" i="1"/>
  <c r="P17" i="1"/>
  <c r="O17" i="1"/>
  <c r="N17" i="1"/>
  <c r="P16" i="1"/>
  <c r="O16" i="1"/>
  <c r="N16" i="1"/>
  <c r="P15" i="1"/>
  <c r="O15" i="1"/>
  <c r="N15" i="1"/>
  <c r="P14" i="1"/>
  <c r="O14" i="1"/>
  <c r="N14" i="1"/>
  <c r="P13" i="1"/>
  <c r="O13" i="1"/>
  <c r="N13" i="1"/>
  <c r="H42" i="1"/>
  <c r="H41" i="1"/>
  <c r="N51" i="1"/>
  <c r="N44" i="1"/>
  <c r="O44" i="1"/>
  <c r="P44" i="1"/>
  <c r="N45" i="1"/>
  <c r="O45" i="1"/>
  <c r="P45" i="1"/>
  <c r="N47" i="1"/>
  <c r="O47" i="1"/>
  <c r="P47" i="1"/>
  <c r="N49" i="1"/>
  <c r="O49" i="1"/>
  <c r="P49" i="1"/>
  <c r="N50" i="1"/>
  <c r="O50" i="1"/>
  <c r="P50" i="1"/>
  <c r="P41" i="1"/>
  <c r="P38" i="1"/>
  <c r="N41" i="1"/>
  <c r="O41" i="1"/>
  <c r="N38" i="1"/>
  <c r="O38" i="1"/>
  <c r="S59" i="1"/>
  <c r="H61" i="1"/>
  <c r="I61" i="1" s="1"/>
  <c r="H62" i="1"/>
  <c r="N62" i="1" s="1"/>
  <c r="H63" i="1"/>
  <c r="I63" i="1" s="1"/>
  <c r="H64" i="1"/>
  <c r="H51" i="1"/>
  <c r="H40" i="1"/>
  <c r="N40" i="1" s="1"/>
  <c r="F13" i="2"/>
  <c r="I64" i="1" l="1"/>
  <c r="O64" i="1" s="1"/>
  <c r="N64" i="1"/>
  <c r="P63" i="1"/>
  <c r="C55" i="2" s="1"/>
  <c r="U59" i="1"/>
  <c r="C51" i="2" s="1"/>
  <c r="H47" i="1"/>
  <c r="I41" i="1"/>
  <c r="N42" i="1"/>
  <c r="H43" i="1"/>
  <c r="H44" i="1"/>
  <c r="I44" i="1" s="1"/>
  <c r="H45" i="1"/>
  <c r="I45" i="1" s="1"/>
  <c r="H46" i="1"/>
  <c r="N46" i="1" s="1"/>
  <c r="H48" i="1"/>
  <c r="N48" i="1" s="1"/>
  <c r="H49" i="1"/>
  <c r="I49" i="1" s="1"/>
  <c r="H50" i="1"/>
  <c r="I50" i="1" s="1"/>
  <c r="P64" i="1" l="1"/>
  <c r="N43" i="1"/>
  <c r="E37" i="2"/>
  <c r="F20" i="2"/>
  <c r="H60" i="1"/>
  <c r="N60" i="1" s="1"/>
  <c r="H59" i="1"/>
  <c r="I59" i="1" s="1"/>
  <c r="H39" i="1"/>
  <c r="H38" i="1"/>
  <c r="I38" i="1" s="1"/>
  <c r="H23" i="1"/>
  <c r="H22" i="1"/>
  <c r="H19" i="1"/>
  <c r="H18" i="1"/>
  <c r="I18" i="1" s="1"/>
  <c r="H24" i="1"/>
  <c r="N24" i="1" s="1"/>
  <c r="H29" i="1"/>
  <c r="I29" i="1" s="1"/>
  <c r="H30" i="1"/>
  <c r="I30" i="1" s="1"/>
  <c r="H14" i="1"/>
  <c r="I14" i="1" s="1"/>
  <c r="J14" i="1" s="1"/>
  <c r="H15" i="1"/>
  <c r="I15" i="1" s="1"/>
  <c r="H16" i="1"/>
  <c r="I16" i="1" s="1"/>
  <c r="I17" i="1"/>
  <c r="H25" i="1"/>
  <c r="I25" i="1" s="1"/>
  <c r="H26" i="1"/>
  <c r="I26" i="1" s="1"/>
  <c r="H27" i="1"/>
  <c r="H28" i="1"/>
  <c r="N28" i="1" s="1"/>
  <c r="K13" i="1"/>
  <c r="C56" i="2" l="1"/>
  <c r="C9" i="14"/>
  <c r="I28" i="1"/>
  <c r="O28" i="1" s="1"/>
  <c r="P28" i="1" s="1"/>
  <c r="I27" i="1"/>
  <c r="J15" i="1"/>
  <c r="N39" i="1"/>
  <c r="N22" i="1"/>
  <c r="P22" i="1" s="1"/>
  <c r="I22" i="1"/>
  <c r="I24" i="1"/>
  <c r="O24" i="1" s="1"/>
  <c r="P24" i="1" s="1"/>
  <c r="I23" i="1"/>
  <c r="K14" i="1"/>
  <c r="L13" i="1"/>
  <c r="J16" i="1"/>
  <c r="J17" i="1" s="1"/>
  <c r="J18" i="1" s="1"/>
  <c r="I20" i="1"/>
  <c r="O20" i="1" s="1"/>
  <c r="P20" i="1" s="1"/>
  <c r="I19" i="1"/>
  <c r="O21" i="1"/>
  <c r="N21" i="1"/>
  <c r="O22" i="1"/>
  <c r="J19" i="1" l="1"/>
  <c r="J20" i="1" s="1"/>
  <c r="J21" i="1" s="1"/>
  <c r="J22" i="1" s="1"/>
  <c r="J23" i="1" s="1"/>
  <c r="J24" i="1" s="1"/>
  <c r="J25" i="1" s="1"/>
  <c r="J26" i="1" s="1"/>
  <c r="J27" i="1" s="1"/>
  <c r="K15" i="1"/>
  <c r="L14" i="1"/>
  <c r="P21" i="1"/>
  <c r="L15" i="1" l="1"/>
  <c r="K16" i="1"/>
  <c r="L16" i="1" l="1"/>
  <c r="K17" i="1"/>
  <c r="L17" i="1" l="1"/>
  <c r="K18" i="1"/>
  <c r="L18" i="1" l="1"/>
  <c r="K19" i="1"/>
  <c r="L19" i="1" l="1"/>
  <c r="K20" i="1"/>
  <c r="L20" i="1" l="1"/>
  <c r="K21" i="1"/>
  <c r="L21" i="1" l="1"/>
  <c r="K22" i="1"/>
  <c r="L22" i="1" l="1"/>
  <c r="K23" i="1"/>
  <c r="L23" i="1" l="1"/>
  <c r="K24" i="1"/>
  <c r="L24" i="1" l="1"/>
  <c r="K25" i="1"/>
  <c r="L25" i="1" l="1"/>
  <c r="K26" i="1"/>
  <c r="J28" i="1"/>
  <c r="L26" i="1" l="1"/>
  <c r="K27" i="1"/>
  <c r="J29" i="1"/>
  <c r="L27" i="1" l="1"/>
  <c r="K28" i="1"/>
  <c r="J30" i="1"/>
  <c r="J34" i="1" l="1"/>
  <c r="J38" i="1" s="1"/>
  <c r="K29" i="1"/>
  <c r="L28" i="1"/>
  <c r="K30" i="1" l="1"/>
  <c r="K34" i="1" s="1"/>
  <c r="L29" i="1"/>
  <c r="P34" i="1"/>
  <c r="L34" i="1" l="1"/>
  <c r="N34" i="1"/>
  <c r="K38" i="1"/>
  <c r="L38" i="1" s="1"/>
  <c r="L30" i="1"/>
  <c r="C106" i="2" l="1"/>
  <c r="G106" i="2" s="1"/>
  <c r="O34" i="1"/>
  <c r="F11" i="2" s="1"/>
  <c r="C11" i="2"/>
  <c r="C13" i="2" l="1"/>
  <c r="G11" i="2"/>
  <c r="K39" i="1"/>
  <c r="I39" i="1"/>
  <c r="O39" i="1" l="1"/>
  <c r="P39" i="1" s="1"/>
  <c r="J39" i="1"/>
  <c r="L39" i="1" s="1"/>
  <c r="I40" i="1" s="1"/>
  <c r="O40" i="1" s="1"/>
  <c r="P40" i="1" s="1"/>
  <c r="K40" i="1"/>
  <c r="K41" i="1" s="1"/>
  <c r="K42" i="1" s="1"/>
  <c r="K43" i="1" s="1"/>
  <c r="K44" i="1" s="1"/>
  <c r="K45" i="1" s="1"/>
  <c r="K46" i="1" s="1"/>
  <c r="K47" i="1" s="1"/>
  <c r="K48" i="1" s="1"/>
  <c r="K49" i="1" s="1"/>
  <c r="K50" i="1" s="1"/>
  <c r="K51" i="1" s="1"/>
  <c r="K55" i="1" s="1"/>
  <c r="K59" i="1" s="1"/>
  <c r="G13" i="2"/>
  <c r="G16" i="2" s="1"/>
  <c r="C45" i="2" s="1"/>
  <c r="C20" i="2"/>
  <c r="G20" i="2" s="1"/>
  <c r="K60" i="1" l="1"/>
  <c r="K61" i="1" s="1"/>
  <c r="K62" i="1" s="1"/>
  <c r="J40" i="1"/>
  <c r="J41" i="1" s="1"/>
  <c r="L41" i="1" s="1"/>
  <c r="I42" i="1" s="1"/>
  <c r="N55" i="1"/>
  <c r="C35" i="2" s="1"/>
  <c r="K63" i="1" l="1"/>
  <c r="K64" i="1" s="1"/>
  <c r="L40" i="1"/>
  <c r="G35" i="2"/>
  <c r="C37" i="2"/>
  <c r="O42" i="1"/>
  <c r="P42" i="1" s="1"/>
  <c r="J42" i="1"/>
  <c r="L42" i="1" s="1"/>
  <c r="I43" i="1" s="1"/>
  <c r="O43" i="1" s="1"/>
  <c r="P43" i="1" s="1"/>
  <c r="K65" i="1" l="1"/>
  <c r="K66" i="1" s="1"/>
  <c r="J43" i="1"/>
  <c r="L43" i="1" s="1"/>
  <c r="K67" i="1" l="1"/>
  <c r="J44" i="1"/>
  <c r="L44" i="1" s="1"/>
  <c r="K68" i="1" l="1"/>
  <c r="J45" i="1"/>
  <c r="L45" i="1" s="1"/>
  <c r="I46" i="1" s="1"/>
  <c r="O46" i="1" s="1"/>
  <c r="P46" i="1" s="1"/>
  <c r="I47" i="1"/>
  <c r="K69" i="1" l="1"/>
  <c r="J46" i="1"/>
  <c r="L46" i="1" s="1"/>
  <c r="K70" i="1" l="1"/>
  <c r="J47" i="1"/>
  <c r="L47" i="1" s="1"/>
  <c r="I48" i="1" s="1"/>
  <c r="O48" i="1" s="1"/>
  <c r="P48" i="1" s="1"/>
  <c r="K71" i="1" l="1"/>
  <c r="J48" i="1"/>
  <c r="L48" i="1" s="1"/>
  <c r="K72" i="1" l="1"/>
  <c r="J49" i="1"/>
  <c r="L49" i="1" s="1"/>
  <c r="K73" i="1" l="1"/>
  <c r="J50" i="1"/>
  <c r="L50" i="1" s="1"/>
  <c r="I51" i="1" s="1"/>
  <c r="O51" i="1" s="1"/>
  <c r="P51" i="1" s="1"/>
  <c r="K74" i="1" l="1"/>
  <c r="J51" i="1"/>
  <c r="J55" i="1" s="1"/>
  <c r="K75" i="1" l="1"/>
  <c r="L51" i="1"/>
  <c r="J59" i="1"/>
  <c r="L59" i="1" s="1"/>
  <c r="I60" i="1" s="1"/>
  <c r="O60" i="1" s="1"/>
  <c r="P60" i="1" s="1"/>
  <c r="C52" i="2" s="1"/>
  <c r="K76" i="1" l="1"/>
  <c r="L55" i="1"/>
  <c r="O55" i="1" s="1"/>
  <c r="F37" i="2" s="1"/>
  <c r="D37" i="2" s="1"/>
  <c r="G37" i="2" s="1"/>
  <c r="G40" i="2" s="1"/>
  <c r="C48" i="2" s="1"/>
  <c r="P55" i="1"/>
  <c r="K77" i="1" l="1"/>
  <c r="J60" i="1"/>
  <c r="L60" i="1" s="1"/>
  <c r="K78" i="1" l="1"/>
  <c r="J61" i="1"/>
  <c r="K80" i="1" l="1"/>
  <c r="K82" i="1" s="1"/>
  <c r="K86" i="1" s="1"/>
  <c r="L61" i="1"/>
  <c r="I62" i="1" l="1"/>
  <c r="O62" i="1" s="1"/>
  <c r="P62" i="1" s="1"/>
  <c r="C54" i="2" s="1"/>
  <c r="C72" i="2" s="1"/>
  <c r="C78" i="2" s="1"/>
  <c r="C86" i="2" l="1"/>
  <c r="D86" i="2" s="1"/>
  <c r="C88" i="2"/>
  <c r="D88" i="2" s="1"/>
  <c r="J62" i="1"/>
  <c r="J63" i="1" s="1"/>
  <c r="D90" i="2" l="1"/>
  <c r="L62" i="1"/>
  <c r="J64" i="1"/>
  <c r="L63" i="1"/>
  <c r="L64" i="1" l="1"/>
  <c r="I65" i="1" s="1"/>
  <c r="J65" i="1" l="1"/>
  <c r="O65" i="1"/>
  <c r="P65" i="1" s="1"/>
  <c r="C10" i="14" s="1"/>
  <c r="L65" i="1" l="1"/>
  <c r="I66" i="1" s="1"/>
  <c r="O66" i="1" s="1"/>
  <c r="P66" i="1" s="1"/>
  <c r="C11" i="13" s="1"/>
  <c r="C25" i="13" s="1"/>
  <c r="C31" i="13" s="1"/>
  <c r="C38" i="13" l="1"/>
  <c r="D38" i="13" s="1"/>
  <c r="C40" i="13"/>
  <c r="D40" i="13" s="1"/>
  <c r="J66" i="1"/>
  <c r="D42" i="13" l="1"/>
  <c r="J67" i="1"/>
  <c r="L66" i="1"/>
  <c r="L67" i="1" l="1"/>
  <c r="J68" i="1"/>
  <c r="L68" i="1" s="1"/>
  <c r="O69" i="1" s="1"/>
  <c r="P69" i="1" s="1"/>
  <c r="C14" i="14" s="1"/>
  <c r="J69" i="1" l="1"/>
  <c r="J70" i="1" l="1"/>
  <c r="L69" i="1"/>
  <c r="J71" i="1" l="1"/>
  <c r="L70" i="1"/>
  <c r="J72" i="1" l="1"/>
  <c r="L71" i="1"/>
  <c r="L72" i="1" l="1"/>
  <c r="J73" i="1"/>
  <c r="J74" i="1" l="1"/>
  <c r="L73" i="1"/>
  <c r="L74" i="1" l="1"/>
  <c r="J75" i="1"/>
  <c r="J76" i="1" l="1"/>
  <c r="L75" i="1"/>
  <c r="J77" i="1" l="1"/>
  <c r="L76" i="1"/>
  <c r="L77" i="1" l="1"/>
  <c r="J78" i="1"/>
  <c r="J80" i="1" s="1"/>
  <c r="L80" i="1" s="1"/>
  <c r="L88" i="1" l="1"/>
  <c r="J88" i="1" s="1"/>
  <c r="L85" i="1"/>
  <c r="N80" i="1"/>
  <c r="L84" i="1"/>
  <c r="J84" i="1" s="1"/>
  <c r="L92" i="1"/>
  <c r="J92" i="1" s="1"/>
  <c r="L83" i="1"/>
  <c r="J83" i="1" s="1"/>
  <c r="L82" i="1"/>
  <c r="J82" i="1" s="1"/>
  <c r="L78" i="1"/>
  <c r="J85" i="1" l="1"/>
  <c r="J86" i="1" s="1"/>
  <c r="J90" i="1" l="1"/>
  <c r="C24" i="14" s="1"/>
  <c r="C26" i="14" s="1"/>
  <c r="C32" i="14" s="1"/>
  <c r="C39" i="14" s="1"/>
  <c r="D39" i="14" s="1"/>
  <c r="L86" i="1"/>
  <c r="L90" i="1" s="1"/>
  <c r="C41" i="14" l="1"/>
  <c r="D41" i="14" s="1"/>
  <c r="D43" i="14" s="1"/>
</calcChain>
</file>

<file path=xl/sharedStrings.xml><?xml version="1.0" encoding="utf-8"?>
<sst xmlns="http://schemas.openxmlformats.org/spreadsheetml/2006/main" count="556" uniqueCount="336">
  <si>
    <t>Transationsdato</t>
  </si>
  <si>
    <t>Beskrivelse</t>
  </si>
  <si>
    <t>Køb(+) / Salg(-)</t>
  </si>
  <si>
    <t>Handelspris</t>
  </si>
  <si>
    <t>Skat pris</t>
  </si>
  <si>
    <t>NB kurs</t>
  </si>
  <si>
    <t>Akk. Skatværdi</t>
  </si>
  <si>
    <t>Skat anskaf.pris</t>
  </si>
  <si>
    <t>Akk. Beholdning</t>
  </si>
  <si>
    <t>GBP</t>
  </si>
  <si>
    <t>GBP/DKK</t>
  </si>
  <si>
    <t>DKK</t>
  </si>
  <si>
    <t>Stk.</t>
  </si>
  <si>
    <t>Skatteår</t>
  </si>
  <si>
    <t>Transaktion</t>
  </si>
  <si>
    <t>Beløb</t>
  </si>
  <si>
    <t>Valuta</t>
  </si>
  <si>
    <t>Skattemæssig værdi</t>
  </si>
  <si>
    <t>Calculation of the tax base of regular PA Shares</t>
  </si>
  <si>
    <t>Transaction Date</t>
  </si>
  <si>
    <t>Cumulative tax value</t>
  </si>
  <si>
    <t>Per share cost</t>
  </si>
  <si>
    <t>Cumulative shareholding</t>
  </si>
  <si>
    <t>Average price of cumulative shareholding</t>
  </si>
  <si>
    <t>Tax base</t>
  </si>
  <si>
    <t>Share price</t>
  </si>
  <si>
    <t>a</t>
  </si>
  <si>
    <t>b</t>
  </si>
  <si>
    <t>c (a-b)</t>
  </si>
  <si>
    <t>On 18 December 2013, Ipex Holdings Limited was liquidated.   Immediately before liquidation, new investors paid £0.10 per share to buy new Ipex shares.</t>
  </si>
  <si>
    <t>For each Ipex Holding Limited share held, shareholders received an LPU2 unit which is a tracker security in the Ipex Fund which holds the venture companies Ipex hope to sell.</t>
  </si>
  <si>
    <t>Beholdning</t>
  </si>
  <si>
    <t>share anskaf.pris</t>
  </si>
  <si>
    <t>Beregning af skattemæssig værdi af IPEX Shares (DKK)</t>
  </si>
  <si>
    <t>LPU1</t>
  </si>
  <si>
    <t>-</t>
  </si>
  <si>
    <t>Ipex will write to you directly to confirm any payment made on your holding of LPU1 securities.   Any payment is taxable as share income</t>
  </si>
  <si>
    <t xml:space="preserve">The tax base cost of your PA shares was split in June 2008 between new PA Ordinary shares (calculated above) and Ipex shares based on the new share prices of £5.49 and £2.93 respectively </t>
  </si>
  <si>
    <t>Beregning af skattemæssig værdi af Redeemable Shares (DKK)</t>
  </si>
  <si>
    <t>In December 2013, Danish shareholder were invited to sell their Redeemable shares to PA's Jersey Trust for £4.3088 per share and almost shareholders all asked to do so.</t>
  </si>
  <si>
    <t>£3.1749 per share was paid on 10 January 2013 and £1.1339 on 14 January 2014.   The total payment of £4.3088 per share is reportable to SKAT as a sale in January 2013.</t>
  </si>
  <si>
    <t>The share sale took place on 10 January 2013 and the gain you made on the sale is taxable as share income in your 2013 tax return.   Your proceeds were paid in two instalments:</t>
  </si>
  <si>
    <t>The tax base cost of your PA shares was split in December 2013 between new PA Ordinary shares (calculated above) and Redeemable shares based 50% of the existing base cost being allocated to each new share</t>
  </si>
  <si>
    <t>Transaction date</t>
  </si>
  <si>
    <t>Sales</t>
  </si>
  <si>
    <t>Price (GBP)</t>
  </si>
  <si>
    <t>Cost per share including UK stamp duty tax (GBP)</t>
  </si>
  <si>
    <t>Step 1</t>
  </si>
  <si>
    <t>Step 2</t>
  </si>
  <si>
    <t>Step 3</t>
  </si>
  <si>
    <t>Step 4</t>
  </si>
  <si>
    <t>Step 5</t>
  </si>
  <si>
    <t>Salg</t>
  </si>
  <si>
    <t>Køb(+)</t>
  </si>
  <si>
    <t>Buy</t>
  </si>
  <si>
    <t>Skatværdi</t>
  </si>
  <si>
    <t>Tax value</t>
  </si>
  <si>
    <t>Exchange rate (GBP to DKK)</t>
  </si>
  <si>
    <t>Handelspris med stempelafgift skat</t>
  </si>
  <si>
    <t>Step 6</t>
  </si>
  <si>
    <t>Step 7</t>
  </si>
  <si>
    <t>Step 8</t>
  </si>
  <si>
    <r>
      <t xml:space="preserve">Copy and paste into 'Skattemeasessig vaerdi af PA aktier' sheet your transaction Rows.   Copy only </t>
    </r>
    <r>
      <rPr>
        <b/>
        <sz val="11"/>
        <color theme="1"/>
        <rFont val="Calibri"/>
        <family val="2"/>
        <scheme val="minor"/>
      </rPr>
      <t xml:space="preserve">columns A to Column G </t>
    </r>
    <r>
      <rPr>
        <sz val="11"/>
        <color theme="1"/>
        <rFont val="Calibri"/>
        <family val="2"/>
        <scheme val="minor"/>
      </rPr>
      <t>as follows:</t>
    </r>
  </si>
  <si>
    <t>Skattemæssig værdi af IPEX ved likvidation skal indberettes i 2013 årsopgørelse/selvangivelse</t>
  </si>
  <si>
    <t>Tax value of Ipex upon liquidation to be reported in 2013 annual tax assessment/tax return</t>
  </si>
  <si>
    <t>IPEX Holding Limited - liquidation value</t>
  </si>
  <si>
    <t>IPEX Holding Limited (IHL) - Base cost on issue</t>
  </si>
  <si>
    <t>Skattemæssig anskaffelsessum (værdi ved stiftelse)</t>
  </si>
  <si>
    <t xml:space="preserve"> </t>
  </si>
  <si>
    <t>Skattemæssig afståelsessum (værdi ved likvidation/overførsel til LPU2 units)</t>
  </si>
  <si>
    <t>d</t>
  </si>
  <si>
    <t>Skattemæssig anskaffelsessum på LPU 2 Units - Værdi ved overførsel til LPU2</t>
  </si>
  <si>
    <t>Transfer from IHL to LPU2 - Base cost on transfer</t>
  </si>
  <si>
    <t>Hverken PA eller nogen ansatte i selskabet er dine skatterådgivere. Denne beregning er udarbejdet af PA i samarbejde med eksterne skatterådgivere. Vi mener, at det vil beregne din aktieindkomst i overensstemmelse med dansk skattelovgivning. Du er imidlertid ansvarlig for dine indberetninger af din indkomst til SKAT.</t>
  </si>
  <si>
    <t>Beregning af skattemæssig værdi af Ordinary PA Shares</t>
  </si>
  <si>
    <t>Ny PA Ordinary kurs</t>
  </si>
  <si>
    <t>Skattemæssigt tab ved likvidation af IPEX IHL</t>
  </si>
  <si>
    <t>Taxable loss on liquidation of IPEX IHL</t>
  </si>
  <si>
    <t>Ipex vil skrive til dig direkte for at bekræfte enhver betaling foretaget på din beholdning af LPU1 værdipapirer. Enhver betaling er skattepligtig som aktieindkomst.</t>
  </si>
  <si>
    <t>Skattemæssig gevinst ved salg af Redeemable Shares</t>
  </si>
  <si>
    <t>Gain related to sale of Redeemable Shares</t>
  </si>
  <si>
    <t>Skattemæssig gevinst ved salg af Redeemable Shares skal indberettes i 2013 årsopgørelse/selvangivelse</t>
  </si>
  <si>
    <t>Taxable gain on sale of Redeemable Shares to be reported in 2013 tax assessment/return</t>
  </si>
  <si>
    <t>Salgspris (skattemæssig afståelsessum)</t>
  </si>
  <si>
    <t>Redeemable Shares - Purchase Cost</t>
  </si>
  <si>
    <t>Skattemæssig anskaffelsessum</t>
  </si>
  <si>
    <t>Taxable gain on sale (to be reported in box 67 on the tax assessment/return)</t>
  </si>
  <si>
    <t>Tax loss on liquidation  (to be reported in box 67 on the tax assessment/return)</t>
  </si>
  <si>
    <t>Hvis du er gift, og du og din ægtefælle ikke har yderligere aktieindkomst i 2013, vil skatten af din aktieindkomst blive beregnet som følger:</t>
  </si>
  <si>
    <t>Tax on share income</t>
  </si>
  <si>
    <t>Du har endvidere en beholdning af LPU1 værdipapirer, hvorfra der kan ske udbetalinger i fremtiden</t>
  </si>
  <si>
    <t>Skat på aktieindkomst</t>
  </si>
  <si>
    <t>If you are married and the above is you and your spouse's only share income in 2013, the tax on the share income should be as follows:</t>
  </si>
  <si>
    <t>Hvis din aktieindkomst er negativ, modregnes skatteværdien heraf i din (og evt. din ægtefælles) øvrige skattebetaling</t>
  </si>
  <si>
    <t>Share income up to 96.600 DKK @ 27%</t>
  </si>
  <si>
    <t>Share income above 96.600 DKK @ 42%</t>
  </si>
  <si>
    <t>Aktieindkomst op til 96.600 DKK beskattes med 27%</t>
  </si>
  <si>
    <t>Aktieindkomst over 96.600 DKK beskattes med 42%</t>
  </si>
  <si>
    <t>If you are not married, the first 48.300 DKK is taxed at 27%, and the excess amount at 42%</t>
  </si>
  <si>
    <t>Hvis du ikke er gift, beskattes de første 48.300 DKK med 27% og resten med 42%</t>
  </si>
  <si>
    <t>If your share income is negative, the tax value is offset against your (and, if necessary, your spouse's) other tax payments.</t>
  </si>
  <si>
    <t>For information, you also hold the following tracker securities called LPUs (renamed LPU1s) which may receive a payment in the future</t>
  </si>
  <si>
    <t>Ipex will write to you directly if any proceeds are paid out on the LPU2 units.</t>
  </si>
  <si>
    <t>(as b)</t>
  </si>
  <si>
    <t>e</t>
  </si>
  <si>
    <t>f (d-e)</t>
  </si>
  <si>
    <t>AND FOR THOSE WHO HELD PA SHARES IN JUNE 2008</t>
  </si>
  <si>
    <t>Share income</t>
  </si>
  <si>
    <t xml:space="preserve">      Overføres til rubrik 67 på årsopgørelse/selvangivelse</t>
  </si>
  <si>
    <t>Skattemæssig gevinst ved salg af PA Ordinary Shares</t>
  </si>
  <si>
    <t>Gain related to sale of PA Ordinary Shares</t>
  </si>
  <si>
    <t>THIS SECTION SUMMARISES THE GAINS AND LOSSES ON UNLISTED SHARES IN 2013 AND THE FINAL AMOUNT TO BE REPORTED IN BOX 67</t>
  </si>
  <si>
    <t>Gain or loss related to other unlisted shares</t>
  </si>
  <si>
    <t>c  (above)</t>
  </si>
  <si>
    <t>f (above)</t>
  </si>
  <si>
    <t>h  (from your own records)</t>
  </si>
  <si>
    <t>g  (from Skattemæssig værdi af PA aktier sheet)</t>
  </si>
  <si>
    <t>i (c+f+g+h)</t>
  </si>
  <si>
    <t>Skattemæssig gevinst ved salg af øvrige unoterede shares</t>
  </si>
  <si>
    <t>Aktieindkomst vedr alle unoterede shares</t>
  </si>
  <si>
    <t>Share income in respect of all unlisted shares (to report in box 67 on tax return)</t>
  </si>
  <si>
    <t>Neither PA nor any officers of the company are your tax advisers.  This calculation sheet has been prepared by PA with assistance from external tax advisers.   We believe it will calculate your share income in line with Danish tax legislation.   You remain responsible for the entries you make on your returns to SKAT.</t>
  </si>
  <si>
    <t>Beregning af aktieindkomst for PA Ordinary Shares, IPEX Shares, Redeemable Shares</t>
  </si>
  <si>
    <t>Calculation of capital for PA Ordinary Shares, IPEX shares, Redeemable  shares</t>
  </si>
  <si>
    <t>Transaction in 2013 calendar year?</t>
  </si>
  <si>
    <t>After?</t>
  </si>
  <si>
    <t>Before</t>
  </si>
  <si>
    <t>Sale proceeds</t>
  </si>
  <si>
    <t>Base cost</t>
  </si>
  <si>
    <t xml:space="preserve">Relevant </t>
  </si>
  <si>
    <t>if a 3</t>
  </si>
  <si>
    <t xml:space="preserve">Sale in </t>
  </si>
  <si>
    <t>year</t>
  </si>
  <si>
    <t>Gain/ Loss</t>
  </si>
  <si>
    <t xml:space="preserve">Paste in transactions up to 24 June 2008 </t>
  </si>
  <si>
    <t>Paste in January 2013 and later PA transactions</t>
  </si>
  <si>
    <t>Gain on PA Ordinary shares June 08 to December 2012</t>
  </si>
  <si>
    <t>Step 9</t>
  </si>
  <si>
    <t>This is a reference table</t>
  </si>
  <si>
    <t>PA Consulting Group Limited - Share Price</t>
  </si>
  <si>
    <t>YEAR</t>
  </si>
  <si>
    <t>MONTH</t>
  </si>
  <si>
    <t>DEALING PERIOD</t>
  </si>
  <si>
    <t>PRICE (GBP)</t>
  </si>
  <si>
    <t>Bonus</t>
  </si>
  <si>
    <r>
      <t xml:space="preserve">Date Restrictions Lift </t>
    </r>
    <r>
      <rPr>
        <b/>
        <sz val="9"/>
        <color theme="0"/>
        <rFont val="Calibri"/>
        <family val="2"/>
        <scheme val="minor"/>
      </rPr>
      <t>(on relevant % of shares acquired)</t>
    </r>
  </si>
  <si>
    <t>APR</t>
  </si>
  <si>
    <t>1 PAH</t>
  </si>
  <si>
    <t>Year</t>
  </si>
  <si>
    <t>Partner*</t>
  </si>
  <si>
    <t>Non-Partner**</t>
  </si>
  <si>
    <t>NOV</t>
  </si>
  <si>
    <t>2 PAH</t>
  </si>
  <si>
    <t>3 PAH</t>
  </si>
  <si>
    <t>4 PAH</t>
  </si>
  <si>
    <t>Share options</t>
  </si>
  <si>
    <t>5 PAH</t>
  </si>
  <si>
    <t>6 PAH</t>
  </si>
  <si>
    <t>XMAS</t>
  </si>
  <si>
    <t>MAY</t>
  </si>
  <si>
    <t>7 PAH</t>
  </si>
  <si>
    <t>8 PAH</t>
  </si>
  <si>
    <t>9 PAH</t>
  </si>
  <si>
    <t>10 PAH</t>
  </si>
  <si>
    <t>11 PAH</t>
  </si>
  <si>
    <t>12 PAH</t>
  </si>
  <si>
    <t>MAR</t>
  </si>
  <si>
    <t>13 PAH</t>
  </si>
  <si>
    <t>Bonus shares</t>
  </si>
  <si>
    <t>SEP</t>
  </si>
  <si>
    <t>14 PAH</t>
  </si>
  <si>
    <t>1995 1996 1997</t>
  </si>
  <si>
    <t>95- 01/03/01  96- 01/03/02  97- 01/03/03</t>
  </si>
  <si>
    <t>95- 01/03/99 96- 01/03/00  97- 01/03/01</t>
  </si>
  <si>
    <t>15 PAH</t>
  </si>
  <si>
    <t>16 PAH</t>
  </si>
  <si>
    <t>17 PAH</t>
  </si>
  <si>
    <t>18 PAH</t>
  </si>
  <si>
    <t>19 PAH</t>
  </si>
  <si>
    <t>20 PAH</t>
  </si>
  <si>
    <t>21 PAH</t>
  </si>
  <si>
    <t>22 PAH</t>
  </si>
  <si>
    <t>23 PAH</t>
  </si>
  <si>
    <t>24 PAH</t>
  </si>
  <si>
    <t>Performance share options</t>
  </si>
  <si>
    <t>25 PAH</t>
  </si>
  <si>
    <t>Award date</t>
  </si>
  <si>
    <t>Vest date</t>
  </si>
  <si>
    <t>Lapse date</t>
  </si>
  <si>
    <t>26 PAH</t>
  </si>
  <si>
    <t>27 PAH</t>
  </si>
  <si>
    <t>28 PAH</t>
  </si>
  <si>
    <t>DEC</t>
  </si>
  <si>
    <t>29 PAH</t>
  </si>
  <si>
    <t>30 PAH</t>
  </si>
  <si>
    <t>31 PAH</t>
  </si>
  <si>
    <t>32 PAH</t>
  </si>
  <si>
    <t>1 PACG</t>
  </si>
  <si>
    <t>2 PACG</t>
  </si>
  <si>
    <t>3 PACG</t>
  </si>
  <si>
    <t>New joiner and promotion share options</t>
  </si>
  <si>
    <t>4 PACG</t>
  </si>
  <si>
    <t>2009 UK Partner award</t>
  </si>
  <si>
    <t>5 PACG</t>
  </si>
  <si>
    <t>2009 All other awards</t>
  </si>
  <si>
    <t>6 PACG</t>
  </si>
  <si>
    <t>7 PACG</t>
  </si>
  <si>
    <t>8 PACG</t>
  </si>
  <si>
    <t>9 PACG</t>
  </si>
  <si>
    <t>PACG March 2013</t>
  </si>
  <si>
    <t>PACG September 2013</t>
  </si>
  <si>
    <t>PACG March 2014</t>
  </si>
  <si>
    <t>Pre-1992 Transactions</t>
  </si>
  <si>
    <t>OCT</t>
  </si>
  <si>
    <t>Transferred Shares</t>
  </si>
  <si>
    <t>1988 Equity - Free Shares</t>
  </si>
  <si>
    <t>JUL</t>
  </si>
  <si>
    <t>Nil Paid Quasi Shares</t>
  </si>
  <si>
    <t>1988 Equity - Matching Shares</t>
  </si>
  <si>
    <t>Share Market One</t>
  </si>
  <si>
    <t>Share Market Two</t>
  </si>
  <si>
    <t>Share Market Three</t>
  </si>
  <si>
    <t>Share Market Four</t>
  </si>
  <si>
    <t>PRICE (DKK)</t>
  </si>
  <si>
    <t>Exchange rate GBP 1 = DKK</t>
  </si>
  <si>
    <t xml:space="preserve">For each 'Option Exercise' you made, you need to adjust the share price in GBP and DKK to the dealing period price as you will already have paid income tax on the </t>
  </si>
  <si>
    <t xml:space="preserve">difference between the options cost and the dealing period price when you use the options.   For example, if you exercised 2008 year options in March 2013 you </t>
  </si>
  <si>
    <t>paid £2.57 per option share, but need to adjust the option price to £6.27 / DKK 54.22 in your share history as you have already paid income tax on the £3.77 difference.</t>
  </si>
  <si>
    <t>Ensure you are connected to the PA network, then run your:</t>
  </si>
  <si>
    <t>PA SHARE HISTORY REPORT</t>
  </si>
  <si>
    <t>The tax calculation will only work correctly if you take the time to follow all of the above steps which apply to your shareholding.</t>
  </si>
  <si>
    <t>STEP 4 TO PASTE BELOW, FIRST AS VALUES THEN AS FORMATTING, YOUR PA SHARE HISTORY DETAILS.</t>
  </si>
  <si>
    <t>Skattemæssig gevinst ved salg (overføres til rubrik 67 på årsopgørelsen/selvangivelsen) ================&gt;&gt;&gt;&gt;&gt;&gt;&gt;&gt;&gt;</t>
  </si>
  <si>
    <t>Skattemæssigt tab ved likvidation (overføres til rubrik 67 i årsopgørelse/selvangivelse)================&gt;&gt;&gt;&gt;&gt;&gt;&gt;&gt;&gt;&gt;&gt;&gt;&gt;&gt;&gt;&gt;&gt;</t>
  </si>
  <si>
    <t>Tax/ expected tax offset value</t>
  </si>
  <si>
    <t>THIS SECTION SHOWS TYPICAL TAX YOU NEED TO PAY/ THE TAX OFFSET ON YOUR UNLISTED SHARE INCOME.   YOU EXACT TAX WILL DEPEND ON YOUR PERSONAL CIRCUMSTANCES</t>
  </si>
  <si>
    <t>- Transactions dated up to and including 24 June 2008 must be entered into the top section</t>
  </si>
  <si>
    <t>- Transaction June 2008 to December 2012 must be entered into the middle section</t>
  </si>
  <si>
    <t>Paste in transactions 25 June 2008 to December 2012</t>
  </si>
  <si>
    <t>Version control history</t>
  </si>
  <si>
    <t>Version</t>
  </si>
  <si>
    <t>Released on Pyramid</t>
  </si>
  <si>
    <t>Notes</t>
  </si>
  <si>
    <t>link to calculator sent to all Danish employees holding PA shares at either 24 June 2008 (Ipex demerger) and/ or at December 2013 (Redeemable share split).</t>
  </si>
  <si>
    <t>Notes / answers to common questions</t>
  </si>
  <si>
    <t>Redeemable shares:</t>
  </si>
  <si>
    <t>Can I deduct the loan amount from my share income?</t>
  </si>
  <si>
    <t>Do I report my Redeemable share income in 2013 only or 2013 and 2014 (as some monies were paid in January 2014).</t>
  </si>
  <si>
    <t>For tax purposes you report in 2013 the whole £4.3088 then deduct the base cost allocated to the Redeemable shares (50% of your average Ordinary share base cost in December 2012) even through the payment of proceeds of the Redeemable shares was made in two instalments, £3.1749 in January 2013 and £1.1339 in January 2014.     </t>
  </si>
  <si>
    <t>Salgsprovenu /Skattemæssig værdi</t>
  </si>
  <si>
    <t>Sale Proceeds /Tax base</t>
  </si>
  <si>
    <t>salgsprovenu</t>
  </si>
  <si>
    <r>
      <t xml:space="preserve">Redeemable Shares - Sales price </t>
    </r>
    <r>
      <rPr>
        <sz val="8"/>
        <color theme="1"/>
        <rFont val="Calibri"/>
        <family val="2"/>
        <scheme val="minor"/>
      </rPr>
      <t>(sum of £3.1749 paid January 2013 and £1.1339 paid January 2014 must be reported in 2013 share income)</t>
    </r>
  </si>
  <si>
    <t>What is the purpose of the Share Income calculator ?</t>
  </si>
  <si>
    <t>Denmark December 2012 PA share split</t>
  </si>
  <si>
    <t>guidance notes which explain how you received two new shares (one new Ordinary, one Redeemable) for each existing PA share held at that time.  </t>
  </si>
  <si>
    <t>Ipex demerger tax guidance notes for Danish shareholders</t>
  </si>
  <si>
    <t>Ipex Holdings shares</t>
  </si>
  <si>
    <t>What to do if you think you have not received communication from Ipex in December 2013?</t>
  </si>
  <si>
    <t>How do I report the liquidation of my Ipex Holdings shares in December 2013?</t>
  </si>
  <si>
    <t xml:space="preserve">find here </t>
  </si>
  <si>
    <t xml:space="preserve">PA shareholding page. </t>
  </si>
  <si>
    <t xml:space="preserve">and your shareholder ID, which is “00” followed by your PA shareholder reference (eg. 00BS0012345) which you can find in the top right hand side of your </t>
  </si>
  <si>
    <r>
      <t xml:space="preserve">If you did not receive the December 2013 communications form Ipex Holdings, you should check that their shares registrar have your contact details (PA don’t manage Ipex shares) by contacting them at </t>
    </r>
    <r>
      <rPr>
        <sz val="10"/>
        <color rgb="FF00B050"/>
        <rFont val="Arial"/>
        <family val="2"/>
      </rPr>
      <t>ipex-shares@capita.co.uk</t>
    </r>
    <r>
      <rPr>
        <sz val="10"/>
        <color rgb="FF000000"/>
        <rFont val="Arial"/>
        <family val="2"/>
      </rPr>
      <t xml:space="preserve"> .   </t>
    </r>
    <r>
      <rPr>
        <sz val="11"/>
        <color rgb="FF000000"/>
        <rFont val="Calibri"/>
        <family val="2"/>
      </rPr>
      <t>They will want to know how many Ipex shares you held in 2008 which you can</t>
    </r>
    <r>
      <rPr>
        <sz val="10"/>
        <color rgb="FF000000"/>
        <rFont val="Arial"/>
        <family val="2"/>
      </rPr>
      <t xml:space="preserve"> </t>
    </r>
    <r>
      <rPr>
        <sz val="10"/>
        <color rgb="FF00B050"/>
        <rFont val="Arial"/>
        <family val="2"/>
      </rPr>
      <t/>
    </r>
  </si>
  <si>
    <t>Is PA acting as my tax advisor?</t>
  </si>
  <si>
    <t>GENERAL</t>
  </si>
  <si>
    <t>Ordinary shares:</t>
  </si>
  <si>
    <t>Does the calculator work out share income gains on my PA Ordinary shares</t>
  </si>
  <si>
    <t>Addition of this Version control and Notes section.   Additional explanatory notes added in sheet “skattemæssig værdi” to confirm that the full £4.3088 share value is taxable in 2013 (and not partly in 2013 and partly in 2014 when £1.1339 of monies were received).    Correction of formula in cell F35 of in sheet “skattemæssig værdi” to multiply the £4.3088 value by the GBP to DKK exchange rates (cell F35 was previously over calculating the sale value in DKK).</t>
  </si>
  <si>
    <t>Denmark - Share income calculator</t>
  </si>
  <si>
    <r>
      <t>It is to help you calculate and report your share income on your tax return</t>
    </r>
    <r>
      <rPr>
        <sz val="11"/>
        <color theme="1"/>
        <rFont val="Calibri"/>
        <family val="2"/>
        <scheme val="minor"/>
      </rPr>
      <t>.  Used correctly, it will determine your share income gain or loss to be reported in your tax return.    This calculator is provided in addition to PA's</t>
    </r>
  </si>
  <si>
    <t xml:space="preserve">Yes, the calculator will determine the share income gains to be reported in your share income. </t>
  </si>
  <si>
    <t>To help you find the right dealing price in DKK, a list of PA share prices in GBP and DKK can be found in the 'PA Share price table' worksheet.</t>
  </si>
  <si>
    <t>PACG March 2015</t>
  </si>
  <si>
    <t>PACG September 2014</t>
  </si>
  <si>
    <t>Transaction in 2014 calendar year?</t>
  </si>
  <si>
    <t>Transaction in 2015 calendar year?</t>
  </si>
  <si>
    <t>Step 10</t>
  </si>
  <si>
    <t>THIS SECTION SUMMARISES THE GAINS AND LOSSES ON UNLISTED SHARES IN 2014 AND THE FINAL AMOUNT TO BE REPORTED IN BOX 67</t>
  </si>
  <si>
    <t>If you are married and the above is you and your spouse's only share income in 2014, the tax on the share income should be as follows:</t>
  </si>
  <si>
    <t>Hvis du er gift, og du og din ægtefælle ikke har yderligere aktieindkomst i 2014, vil skatten af din aktieindkomst blive beregnet som følger:</t>
  </si>
  <si>
    <t>If you are married and the above is you and your spouse's only share income in 2015, the tax on the share income should be as follows:</t>
  </si>
  <si>
    <t>THIS SECTION SUMMARISES THE GAINS AND LOSSES ON UNLISTED SHARES IN 2015 AND THE FINAL AMOUNT TO BE REPORTED IN BOX 67</t>
  </si>
  <si>
    <t>Share income up to 99.800 DKK @ 27%</t>
  </si>
  <si>
    <t>Aktieindkomst op til 99.800 DKK beskattes med 27%</t>
  </si>
  <si>
    <t>Share income above 99.800 DKK @ 42%</t>
  </si>
  <si>
    <t>Aktieindkomst over 99.800 DKK beskattes med 42%</t>
  </si>
  <si>
    <t>If you are not married, the first 49.900 DKK is taxed at 27%, and the excess amount at 42%</t>
  </si>
  <si>
    <t>Hvis du ikke er gift, beskattes de første 49.900 DKK med 27% og resten med 42%</t>
  </si>
  <si>
    <t>If you are not married, the first 49.200 DKK is taxed at 27%, and the excess amount at 42%</t>
  </si>
  <si>
    <t>Hvis du ikke er gift, beskattes de første 49.200 DKK med 27% og resten med 42%</t>
  </si>
  <si>
    <t>Share income up to 98.400 DKK @ 27%</t>
  </si>
  <si>
    <t>Share income above 98.400 DKK @ 42%</t>
  </si>
  <si>
    <t>Aktieindkomst over 98.400 DKK beskattes med 42%</t>
  </si>
  <si>
    <t>Aktieindkomst op til 98.400 DKK beskattes med 27%</t>
  </si>
  <si>
    <t>Follow the steps below to generate a 'clean' set of data which will then calculate your share income on the other worksheets</t>
  </si>
  <si>
    <t>- Transactions January 2013 onwards must be entered into the bottom section</t>
  </si>
  <si>
    <t>Update to include 2014 and 2015 years</t>
  </si>
  <si>
    <t>Update to include 2015 Carlyle Investment</t>
  </si>
  <si>
    <t>Denmark 2015 Carlyle Investment</t>
  </si>
  <si>
    <t>Current</t>
  </si>
  <si>
    <t>Former</t>
  </si>
  <si>
    <t xml:space="preserve"> - Shareholder who is or was a director or employee of any member of the PA Group as of 1 August 2015 and who had not given or received notice of termination of their employment prior to 1 August 2015</t>
  </si>
  <si>
    <t xml:space="preserve"> - Option holder who is or was an employee of any member of the PA Group as of 1 August 2015 and who had not given or received notice of termination of their employment prior to 1 August 2015.</t>
  </si>
  <si>
    <t>Select "Current" in the yellow highlighted cell to the right if you were a:</t>
  </si>
  <si>
    <t>Select the appropriate position</t>
  </si>
  <si>
    <t xml:space="preserve">If neither of the above statements apply to you then select "Former" in the yellow highlighted cell </t>
  </si>
  <si>
    <t>Gain on PA Ordinary shares before June 08</t>
  </si>
  <si>
    <t>PACG December 2015</t>
  </si>
  <si>
    <t>Skattemæssig værdi af PA Shares (DKK)</t>
  </si>
  <si>
    <t>Gain/Loss</t>
  </si>
  <si>
    <t>Total</t>
  </si>
  <si>
    <t>Computation of your capital gain as a result of the Carlyle investment</t>
  </si>
  <si>
    <t>a  (from Skattemæssig værdi af PA aktier sheet)</t>
  </si>
  <si>
    <t>b  (from your own records)</t>
  </si>
  <si>
    <t>c (a+b)</t>
  </si>
  <si>
    <t>guidance notes which explain your capital gains tax position as a result of the Carlyle Investment.</t>
  </si>
  <si>
    <t>No, neither PA nor any individual member of the firm are acting as your tax agent or tax adviser here.   We are simply providing a tool which we believe will help you comply with your personal tax reporting obligations.   The numbers you enter into your tax returns are entirely your own responsibility and if you want full reassurance, you will need to seek the support of a Danish accountant/tax adviser.     </t>
  </si>
  <si>
    <t>No, any loan amounts repaid from the proceeds on selling your Redeemable shares in January 2013 and/or in January 2014 is simply repaying PA for the loan provided to buy the original PA shares.  These loan amounts are ignored when calculating your share income.  The January 2013 sale price to report is the £4.3088 (DKK 46.87) value of each share sold.    There is no Redeemable share income to report for 2014 income year.</t>
  </si>
  <si>
    <t xml:space="preserve">If you were a PA shareholder in June 2008, I expect you to have realised a loss in December 2013 when your Ipex Holdings Limited shares were cancelled.  The proceeds of the liquidation of the company were a Limited Partnership Unit (‘LPU2’) for each Ipex share you held at 13 December 2013.   As the Ipex shares were valued in June 2008 when created at £2.93 and at only £0.10 in early December 2013 immediately prior to liquidation of the company, I expect you will have a loss to include in your 2013 share income.    If your Ipex losses exceed the PA and any other share gains you made in 2013 year, you will through your tax return automatically benefit by the tax calculated on your net loss (typically somewhere between 27% and 42%) offsetting your employment income taxes due for 2013 year.   If you need to refresh your memory, full details of how your PA shares held in 2008 split into new PA Ordinary and Ipex (ventures company) shares can be found in my </t>
  </si>
  <si>
    <t>Share description</t>
  </si>
  <si>
    <t>%</t>
  </si>
  <si>
    <t>Enter into the yellow highlighted cell a value for and Loan Notes you may receive:</t>
  </si>
  <si>
    <t>Any gains on PA Ordinary shares from January 2013</t>
  </si>
  <si>
    <t>09/12/2015 options</t>
  </si>
  <si>
    <t>08/12/2015 options</t>
  </si>
  <si>
    <t>Taxable sale proceeds on PA options (note that the full cost of £23.8934445526 subject to Income tax will be taken into account when calculating the cost of your shares so you will not be taxed twice).</t>
  </si>
  <si>
    <t>Carries forward to: Skattemæssig værdi af new PA Shares in PA's new Topco (DKK)</t>
  </si>
  <si>
    <t>If you exercised any year options in December 2015 you need to adjust the option price to £23.89 / DKK 246.21 in your share history.</t>
  </si>
  <si>
    <t>Go to the 'Skattemeasessig vaerdi 2015' to see your overall gains and losses for 2015.</t>
  </si>
  <si>
    <t>In your Share History Sheet, select currency DKK in cell B4</t>
  </si>
  <si>
    <t>Delete the final row you have pasted in this sheet from your share history which sets out your "Carlyle investment"</t>
  </si>
  <si>
    <t>In this sheet, Paste in the rows as Values.</t>
  </si>
  <si>
    <t>Then copy all columns and rows 12 (unrestricted shares section) down to the last transaction on 11 December 2015</t>
  </si>
  <si>
    <t>It is your duty to value the Loan Note on what you believe the cash value of the Loan Note is in December 2015. 
PA has received advice from external lawyers that the Loan Note can be valued at a 40% discount for capital gains tax purposes.
The yellow highlighted cell is therefore prepopulated with an 60% value. You can if you wish update this value to reflect a different cash value if you see fit.
Note that should SKAT take the view that your Loan Note should be fully taxable or taxed with a smaller discount applied, you personally run the risk of incurring interest on any underpayment of tax. If you would then rather take a conservative approach you can, on your tax return, report the full value of the Loan Note received for capital gains tax purposes and pay the taxes accordingly.
If you are in any doubt about the above you should seek independent advice.</t>
  </si>
  <si>
    <t>Update to include valuation of the Vendor Loan Note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</si>
</sst>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 #,##0.00_ ;_ * \-#,##0.00_ ;_ * &quot;-&quot;??_ ;_ @_ "/>
    <numFmt numFmtId="165" formatCode="0.00000"/>
    <numFmt numFmtId="166" formatCode="#,##0.0000"/>
    <numFmt numFmtId="167" formatCode="dd\-mmmm\-yy"/>
    <numFmt numFmtId="168" formatCode="#,##0.000"/>
    <numFmt numFmtId="169" formatCode="0.0%"/>
    <numFmt numFmtId="170" formatCode="dd/mm/yy"/>
    <numFmt numFmtId="171" formatCode="0.000"/>
    <numFmt numFmtId="172" formatCode="0.0"/>
  </numFmts>
  <fonts count="57"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sz val="12"/>
      <color rgb="FF222222"/>
      <name val="Arial"/>
      <family val="2"/>
    </font>
    <font>
      <sz val="10"/>
      <color theme="1"/>
      <name val="Calibri"/>
      <family val="2"/>
      <scheme val="minor"/>
    </font>
    <font>
      <sz val="9"/>
      <color rgb="FF222222"/>
      <name val="Arial"/>
      <family val="2"/>
    </font>
    <font>
      <sz val="9"/>
      <color theme="1"/>
      <name val="Calibri"/>
      <family val="2"/>
      <scheme val="minor"/>
    </font>
    <font>
      <sz val="8"/>
      <color rgb="FF222222"/>
      <name val="Arial"/>
      <family val="2"/>
    </font>
    <font>
      <sz val="8"/>
      <color theme="1"/>
      <name val="Calibri"/>
      <family val="2"/>
      <scheme val="minor"/>
    </font>
    <font>
      <sz val="11"/>
      <color theme="9"/>
      <name val="Calibri"/>
      <family val="2"/>
      <scheme val="minor"/>
    </font>
    <font>
      <sz val="8"/>
      <color theme="9"/>
      <name val="Calibri"/>
      <family val="2"/>
      <scheme val="minor"/>
    </font>
    <font>
      <sz val="8"/>
      <color rgb="FF00B050"/>
      <name val="Calibri"/>
      <family val="2"/>
      <scheme val="minor"/>
    </font>
    <font>
      <sz val="11"/>
      <color rgb="FF00B050"/>
      <name val="Calibri"/>
      <family val="2"/>
      <scheme val="minor"/>
    </font>
    <font>
      <i/>
      <sz val="9"/>
      <color theme="1"/>
      <name val="Calibri"/>
      <family val="2"/>
      <scheme val="minor"/>
    </font>
    <font>
      <sz val="10"/>
      <name val="Arial"/>
      <family val="2"/>
    </font>
    <font>
      <sz val="10"/>
      <name val="Arial"/>
      <family val="2"/>
    </font>
    <font>
      <sz val="10"/>
      <name val="Calibri"/>
      <family val="2"/>
      <scheme val="minor"/>
    </font>
    <font>
      <b/>
      <sz val="10"/>
      <color theme="0"/>
      <name val="Calibri"/>
      <family val="2"/>
      <scheme val="minor"/>
    </font>
    <font>
      <sz val="8"/>
      <name val="Calibri"/>
      <family val="2"/>
      <scheme val="minor"/>
    </font>
    <font>
      <u/>
      <sz val="11"/>
      <color theme="10"/>
      <name val="Calibri"/>
      <family val="2"/>
      <scheme val="minor"/>
    </font>
    <font>
      <sz val="11"/>
      <color rgb="FFFF0000"/>
      <name val="Calibri"/>
      <family val="2"/>
      <scheme val="minor"/>
    </font>
    <font>
      <sz val="11"/>
      <color theme="1"/>
      <name val="Calibri"/>
      <family val="2"/>
      <scheme val="minor"/>
    </font>
    <font>
      <sz val="11"/>
      <name val="Calibri"/>
      <family val="2"/>
      <scheme val="minor"/>
    </font>
    <font>
      <b/>
      <sz val="10"/>
      <color rgb="FF222222"/>
      <name val="Arial"/>
      <family val="2"/>
    </font>
    <font>
      <sz val="11"/>
      <color theme="4"/>
      <name val="Calibri"/>
      <family val="2"/>
      <scheme val="minor"/>
    </font>
    <font>
      <i/>
      <sz val="8"/>
      <color theme="1"/>
      <name val="Calibri"/>
      <family val="2"/>
      <scheme val="minor"/>
    </font>
    <font>
      <b/>
      <i/>
      <sz val="11"/>
      <color theme="1"/>
      <name val="Calibri"/>
      <family val="2"/>
      <scheme val="minor"/>
    </font>
    <font>
      <i/>
      <sz val="11"/>
      <color rgb="FFFF0000"/>
      <name val="Calibri"/>
      <family val="2"/>
      <scheme val="minor"/>
    </font>
    <font>
      <i/>
      <sz val="8"/>
      <color rgb="FF222222"/>
      <name val="Arial"/>
      <family val="2"/>
    </font>
    <font>
      <i/>
      <u/>
      <sz val="8"/>
      <color theme="1"/>
      <name val="Calibri"/>
      <family val="2"/>
      <scheme val="minor"/>
    </font>
    <font>
      <sz val="8"/>
      <color theme="1"/>
      <name val="Arial"/>
      <family val="2"/>
    </font>
    <font>
      <b/>
      <i/>
      <sz val="12"/>
      <color rgb="FFFF0000"/>
      <name val="Calibri"/>
      <family val="2"/>
      <scheme val="minor"/>
    </font>
    <font>
      <b/>
      <i/>
      <sz val="14"/>
      <color rgb="FFFF0000"/>
      <name val="Calibri"/>
      <family val="2"/>
      <scheme val="minor"/>
    </font>
    <font>
      <b/>
      <i/>
      <sz val="11"/>
      <color rgb="FFFF0000"/>
      <name val="Calibri"/>
      <family val="2"/>
      <scheme val="minor"/>
    </font>
    <font>
      <b/>
      <sz val="11"/>
      <color rgb="FF222222"/>
      <name val="Arial"/>
      <family val="2"/>
    </font>
    <font>
      <sz val="9"/>
      <name val="Calibri"/>
      <family val="2"/>
      <scheme val="minor"/>
    </font>
    <font>
      <b/>
      <sz val="11"/>
      <color theme="9"/>
      <name val="Calibri"/>
      <family val="2"/>
      <scheme val="minor"/>
    </font>
    <font>
      <b/>
      <sz val="11"/>
      <color rgb="FF00B050"/>
      <name val="Calibri"/>
      <family val="2"/>
      <scheme val="minor"/>
    </font>
    <font>
      <b/>
      <sz val="16"/>
      <color rgb="FF4F81BD"/>
      <name val="Calibri"/>
      <family val="2"/>
      <scheme val="minor"/>
    </font>
    <font>
      <b/>
      <sz val="12"/>
      <color theme="0"/>
      <name val="Calibri"/>
      <family val="2"/>
      <scheme val="minor"/>
    </font>
    <font>
      <sz val="10"/>
      <color theme="0"/>
      <name val="Calibri"/>
      <family val="2"/>
      <scheme val="minor"/>
    </font>
    <font>
      <b/>
      <sz val="12"/>
      <name val="Calibri"/>
      <family val="2"/>
      <scheme val="minor"/>
    </font>
    <font>
      <b/>
      <sz val="9"/>
      <color theme="0"/>
      <name val="Calibri"/>
      <family val="2"/>
      <scheme val="minor"/>
    </font>
    <font>
      <b/>
      <sz val="12"/>
      <color rgb="FF4F81BD"/>
      <name val="Calibri"/>
      <family val="2"/>
      <scheme val="minor"/>
    </font>
    <font>
      <sz val="8"/>
      <name val="Arial"/>
      <family val="2"/>
    </font>
    <font>
      <sz val="10"/>
      <name val="MS Sans Serif"/>
      <family val="2"/>
    </font>
    <font>
      <b/>
      <sz val="10"/>
      <name val="MS Sans Serif"/>
      <family val="2"/>
    </font>
    <font>
      <b/>
      <sz val="14"/>
      <color theme="4"/>
      <name val="Calibri"/>
      <family val="2"/>
      <scheme val="minor"/>
    </font>
    <font>
      <b/>
      <sz val="16"/>
      <color theme="1"/>
      <name val="Calibri"/>
      <family val="2"/>
      <scheme val="minor"/>
    </font>
    <font>
      <b/>
      <sz val="24"/>
      <color theme="1"/>
      <name val="Calibri"/>
      <family val="2"/>
      <scheme val="minor"/>
    </font>
    <font>
      <sz val="11"/>
      <color rgb="FF000000"/>
      <name val="Calibri"/>
      <family val="2"/>
      <scheme val="minor"/>
    </font>
    <font>
      <sz val="11"/>
      <color rgb="FF000000"/>
      <name val="Calibri"/>
      <family val="2"/>
    </font>
    <font>
      <sz val="10"/>
      <color rgb="FF00B050"/>
      <name val="Arial"/>
      <family val="2"/>
    </font>
    <font>
      <sz val="10"/>
      <color rgb="FF000000"/>
      <name val="Arial"/>
      <family val="2"/>
    </font>
    <font>
      <b/>
      <sz val="11"/>
      <name val="Calibri"/>
      <family val="2"/>
      <scheme val="minor"/>
    </font>
    <font>
      <sz val="11"/>
      <color theme="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rgb="FF4F81BD"/>
        <bgColor indexed="64"/>
      </patternFill>
    </fill>
    <fill>
      <patternFill patternType="solid">
        <fgColor theme="9" tint="0.79998168889431442"/>
        <bgColor indexed="64"/>
      </patternFill>
    </fill>
    <fill>
      <patternFill patternType="mediumGray">
        <fgColor indexed="22"/>
      </patternFill>
    </fill>
  </fills>
  <borders count="5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auto="1"/>
      </top>
      <bottom style="hair">
        <color indexed="64"/>
      </bottom>
      <diagonal/>
    </border>
    <border>
      <left style="hair">
        <color indexed="64"/>
      </left>
      <right style="hair">
        <color indexed="64"/>
      </right>
      <top style="hair">
        <color indexed="64"/>
      </top>
      <bottom style="hair">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auto="1"/>
      </top>
      <bottom/>
      <diagonal/>
    </border>
    <border>
      <left/>
      <right style="thick">
        <color auto="1"/>
      </right>
      <top style="medium">
        <color auto="1"/>
      </top>
      <bottom/>
      <diagonal/>
    </border>
    <border>
      <left style="thick">
        <color auto="1"/>
      </left>
      <right/>
      <top/>
      <bottom style="medium">
        <color auto="1"/>
      </bottom>
      <diagonal/>
    </border>
    <border>
      <left/>
      <right style="thick">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medium">
        <color auto="1"/>
      </right>
      <top style="medium">
        <color auto="1"/>
      </top>
      <bottom style="thin">
        <color auto="1"/>
      </bottom>
      <diagonal/>
    </border>
    <border>
      <left style="hair">
        <color indexed="64"/>
      </left>
      <right style="medium">
        <color auto="1"/>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dashed">
        <color auto="1"/>
      </left>
      <right style="dashed">
        <color auto="1"/>
      </right>
      <top style="medium">
        <color auto="1"/>
      </top>
      <bottom/>
      <diagonal/>
    </border>
    <border>
      <left style="dashed">
        <color auto="1"/>
      </left>
      <right style="dashed">
        <color auto="1"/>
      </right>
      <top/>
      <bottom style="dashed">
        <color auto="1"/>
      </bottom>
      <diagonal/>
    </border>
    <border>
      <left style="dashed">
        <color auto="1"/>
      </left>
      <right style="dashed">
        <color auto="1"/>
      </right>
      <top style="dashed">
        <color auto="1"/>
      </top>
      <bottom/>
      <diagonal/>
    </border>
    <border>
      <left style="medium">
        <color indexed="64"/>
      </left>
      <right style="thin">
        <color auto="1"/>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3">
    <xf numFmtId="0" fontId="0" fillId="0" borderId="0"/>
    <xf numFmtId="0" fontId="15" fillId="0" borderId="0"/>
    <xf numFmtId="0" fontId="16" fillId="0" borderId="0"/>
    <xf numFmtId="0" fontId="20" fillId="0" borderId="0" applyNumberFormat="0" applyFill="0" applyBorder="0" applyAlignment="0" applyProtection="0"/>
    <xf numFmtId="164" fontId="22" fillId="0" borderId="0" applyFont="0" applyFill="0" applyBorder="0" applyAlignment="0" applyProtection="0"/>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47" fillId="0" borderId="7">
      <alignment horizontal="center"/>
    </xf>
    <xf numFmtId="3" fontId="46" fillId="0" borderId="0" applyFont="0" applyFill="0" applyBorder="0" applyAlignment="0" applyProtection="0"/>
    <xf numFmtId="0" fontId="46" fillId="7" borderId="0" applyNumberFormat="0" applyFont="0" applyBorder="0" applyAlignment="0" applyProtection="0"/>
    <xf numFmtId="0" fontId="15" fillId="0" borderId="0"/>
    <xf numFmtId="0" fontId="15" fillId="0" borderId="0"/>
  </cellStyleXfs>
  <cellXfs count="466">
    <xf numFmtId="0" fontId="0" fillId="0" borderId="0" xfId="0"/>
    <xf numFmtId="0" fontId="2" fillId="0" borderId="0" xfId="0" applyFont="1"/>
    <xf numFmtId="0" fontId="2" fillId="0" borderId="0" xfId="0" quotePrefix="1" applyFont="1"/>
    <xf numFmtId="0" fontId="3" fillId="0" borderId="0" xfId="0" applyFont="1" applyAlignment="1">
      <alignment horizontal="center"/>
    </xf>
    <xf numFmtId="0" fontId="0" fillId="0" borderId="0" xfId="0" applyFill="1"/>
    <xf numFmtId="0" fontId="4" fillId="0" borderId="0" xfId="0" applyFont="1"/>
    <xf numFmtId="0" fontId="8" fillId="0" borderId="0" xfId="0" applyFont="1"/>
    <xf numFmtId="0" fontId="9" fillId="0" borderId="0" xfId="0" applyFont="1" applyAlignment="1">
      <alignment vertical="center"/>
    </xf>
    <xf numFmtId="0" fontId="0" fillId="0" borderId="2" xfId="0" applyBorder="1" applyAlignment="1">
      <alignment horizontal="center"/>
    </xf>
    <xf numFmtId="0" fontId="0" fillId="0" borderId="2" xfId="0" applyBorder="1"/>
    <xf numFmtId="0" fontId="0" fillId="0" borderId="5" xfId="0" applyBorder="1"/>
    <xf numFmtId="0" fontId="0" fillId="0" borderId="4" xfId="0" applyBorder="1"/>
    <xf numFmtId="0" fontId="0" fillId="0" borderId="0" xfId="0" applyBorder="1"/>
    <xf numFmtId="3" fontId="0" fillId="0" borderId="0" xfId="0" applyNumberFormat="1" applyFont="1" applyBorder="1"/>
    <xf numFmtId="15" fontId="0" fillId="0" borderId="4" xfId="0" applyNumberFormat="1" applyFill="1" applyBorder="1"/>
    <xf numFmtId="0" fontId="0" fillId="0" borderId="0" xfId="0" applyFill="1" applyBorder="1"/>
    <xf numFmtId="165" fontId="0" fillId="0" borderId="0" xfId="0" applyNumberFormat="1" applyBorder="1"/>
    <xf numFmtId="4" fontId="0" fillId="0" borderId="0" xfId="0" applyNumberFormat="1" applyBorder="1"/>
    <xf numFmtId="0" fontId="8" fillId="0" borderId="0" xfId="0" applyFont="1" applyBorder="1"/>
    <xf numFmtId="4" fontId="1" fillId="0" borderId="0" xfId="0" applyNumberFormat="1" applyFont="1" applyBorder="1"/>
    <xf numFmtId="0" fontId="0" fillId="0" borderId="6" xfId="0" applyBorder="1"/>
    <xf numFmtId="0" fontId="0" fillId="0" borderId="7" xfId="0" applyBorder="1"/>
    <xf numFmtId="0" fontId="9" fillId="0" borderId="0" xfId="0" applyFont="1" applyBorder="1" applyAlignment="1">
      <alignment vertical="center"/>
    </xf>
    <xf numFmtId="3" fontId="0" fillId="0" borderId="0" xfId="0" applyNumberFormat="1" applyBorder="1"/>
    <xf numFmtId="3" fontId="0" fillId="0" borderId="0" xfId="0" applyNumberFormat="1" applyFill="1" applyBorder="1"/>
    <xf numFmtId="2" fontId="0" fillId="0" borderId="0" xfId="0" applyNumberFormat="1" applyFill="1" applyBorder="1"/>
    <xf numFmtId="0" fontId="0" fillId="0" borderId="0" xfId="0" applyFill="1" applyBorder="1" applyAlignment="1">
      <alignment horizontal="center"/>
    </xf>
    <xf numFmtId="4" fontId="0" fillId="0" borderId="0" xfId="0" applyNumberFormat="1" applyFill="1" applyBorder="1"/>
    <xf numFmtId="4" fontId="1" fillId="0" borderId="0" xfId="0" applyNumberFormat="1" applyFont="1" applyFill="1" applyBorder="1"/>
    <xf numFmtId="3" fontId="9" fillId="0" borderId="0" xfId="0" applyNumberFormat="1" applyFont="1" applyFill="1" applyBorder="1"/>
    <xf numFmtId="0" fontId="1" fillId="0" borderId="0" xfId="0" applyFont="1" applyFill="1" applyBorder="1"/>
    <xf numFmtId="0" fontId="0" fillId="0" borderId="5" xfId="0" applyFill="1" applyBorder="1"/>
    <xf numFmtId="4" fontId="0" fillId="0" borderId="7" xfId="0" applyNumberFormat="1" applyBorder="1"/>
    <xf numFmtId="3" fontId="0" fillId="0" borderId="7" xfId="0" applyNumberFormat="1" applyBorder="1"/>
    <xf numFmtId="0" fontId="0" fillId="0" borderId="0" xfId="0" applyBorder="1" applyAlignment="1">
      <alignment horizontal="center"/>
    </xf>
    <xf numFmtId="0" fontId="4" fillId="0" borderId="0" xfId="0" applyFont="1" applyBorder="1"/>
    <xf numFmtId="0" fontId="12" fillId="0" borderId="9" xfId="0" applyFont="1" applyBorder="1"/>
    <xf numFmtId="0" fontId="13" fillId="3" borderId="10" xfId="0" applyFont="1" applyFill="1" applyBorder="1"/>
    <xf numFmtId="0" fontId="13" fillId="3" borderId="15" xfId="0" applyFont="1" applyFill="1" applyBorder="1"/>
    <xf numFmtId="3" fontId="13" fillId="0" borderId="12" xfId="0" applyNumberFormat="1" applyFont="1" applyFill="1" applyBorder="1"/>
    <xf numFmtId="4" fontId="13" fillId="0" borderId="13" xfId="0" applyNumberFormat="1" applyFont="1" applyFill="1" applyBorder="1"/>
    <xf numFmtId="4" fontId="13" fillId="0" borderId="16" xfId="0" applyNumberFormat="1" applyFont="1" applyFill="1" applyBorder="1"/>
    <xf numFmtId="0" fontId="9" fillId="0" borderId="1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8"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4" fillId="4" borderId="2" xfId="0" applyFont="1" applyFill="1" applyBorder="1" applyAlignment="1">
      <alignment horizontal="center"/>
    </xf>
    <xf numFmtId="0" fontId="14" fillId="4" borderId="17" xfId="0" applyFont="1" applyFill="1" applyBorder="1" applyAlignment="1">
      <alignment horizontal="center"/>
    </xf>
    <xf numFmtId="0" fontId="14" fillId="4" borderId="18" xfId="0" applyFont="1" applyFill="1" applyBorder="1" applyAlignment="1">
      <alignment horizontal="center"/>
    </xf>
    <xf numFmtId="0" fontId="14" fillId="4" borderId="13" xfId="0" applyFont="1" applyFill="1" applyBorder="1" applyAlignment="1">
      <alignment horizontal="center"/>
    </xf>
    <xf numFmtId="0" fontId="14" fillId="4" borderId="14" xfId="0" applyFont="1" applyFill="1" applyBorder="1" applyAlignment="1">
      <alignment horizontal="center"/>
    </xf>
    <xf numFmtId="0" fontId="1" fillId="3" borderId="0" xfId="0" applyFont="1" applyFill="1" applyBorder="1"/>
    <xf numFmtId="0" fontId="0" fillId="3" borderId="0" xfId="0" applyFill="1" applyBorder="1"/>
    <xf numFmtId="0" fontId="0" fillId="3" borderId="5" xfId="0" applyFill="1" applyBorder="1"/>
    <xf numFmtId="0" fontId="11" fillId="3" borderId="9" xfId="0" applyFont="1" applyFill="1" applyBorder="1"/>
    <xf numFmtId="0" fontId="10" fillId="3" borderId="10" xfId="0" applyFont="1" applyFill="1" applyBorder="1"/>
    <xf numFmtId="0" fontId="10" fillId="3" borderId="15" xfId="0" applyFont="1" applyFill="1" applyBorder="1"/>
    <xf numFmtId="0" fontId="11" fillId="3" borderId="11" xfId="0" applyFont="1" applyFill="1" applyBorder="1" applyAlignment="1">
      <alignment horizontal="center"/>
    </xf>
    <xf numFmtId="0" fontId="11" fillId="3" borderId="0" xfId="0" applyFont="1" applyFill="1" applyBorder="1"/>
    <xf numFmtId="0" fontId="11" fillId="3" borderId="5" xfId="0" applyFont="1" applyFill="1" applyBorder="1" applyAlignment="1">
      <alignment horizontal="right"/>
    </xf>
    <xf numFmtId="3" fontId="10" fillId="3" borderId="12" xfId="0" applyNumberFormat="1" applyFont="1" applyFill="1" applyBorder="1"/>
    <xf numFmtId="4" fontId="10" fillId="3" borderId="13" xfId="0" applyNumberFormat="1" applyFont="1" applyFill="1" applyBorder="1"/>
    <xf numFmtId="4" fontId="10" fillId="3" borderId="16" xfId="0" applyNumberFormat="1" applyFont="1" applyFill="1" applyBorder="1"/>
    <xf numFmtId="0" fontId="1" fillId="0" borderId="0" xfId="0" applyFont="1"/>
    <xf numFmtId="4" fontId="9" fillId="0" borderId="24" xfId="0" applyNumberFormat="1" applyFont="1" applyBorder="1"/>
    <xf numFmtId="3" fontId="9" fillId="0" borderId="24" xfId="0" applyNumberFormat="1" applyFont="1" applyBorder="1"/>
    <xf numFmtId="0" fontId="12" fillId="3" borderId="11" xfId="0" applyFont="1" applyFill="1" applyBorder="1" applyAlignment="1">
      <alignment horizontal="center"/>
    </xf>
    <xf numFmtId="0" fontId="12" fillId="3" borderId="0" xfId="0" applyFont="1" applyFill="1" applyBorder="1"/>
    <xf numFmtId="0" fontId="12" fillId="3" borderId="5" xfId="0" applyFont="1" applyFill="1" applyBorder="1" applyAlignment="1">
      <alignment horizontal="right"/>
    </xf>
    <xf numFmtId="4" fontId="21" fillId="0" borderId="0" xfId="0" applyNumberFormat="1" applyFont="1" applyBorder="1"/>
    <xf numFmtId="0" fontId="23" fillId="0" borderId="0" xfId="0" applyFont="1" applyFill="1" applyBorder="1"/>
    <xf numFmtId="49" fontId="5" fillId="0" borderId="0" xfId="0" applyNumberFormat="1" applyFont="1" applyBorder="1" applyAlignment="1">
      <alignment wrapText="1"/>
    </xf>
    <xf numFmtId="49" fontId="9" fillId="0" borderId="0" xfId="0" applyNumberFormat="1" applyFont="1" applyBorder="1" applyAlignment="1">
      <alignment horizontal="center" vertical="center" wrapText="1"/>
    </xf>
    <xf numFmtId="0" fontId="0" fillId="4" borderId="2" xfId="0" applyFill="1" applyBorder="1" applyAlignment="1">
      <alignment horizontal="center"/>
    </xf>
    <xf numFmtId="0" fontId="3" fillId="4" borderId="2" xfId="0" applyFont="1" applyFill="1" applyBorder="1" applyAlignment="1">
      <alignment horizontal="center"/>
    </xf>
    <xf numFmtId="0" fontId="0" fillId="4" borderId="3" xfId="0" applyFill="1" applyBorder="1"/>
    <xf numFmtId="0" fontId="3" fillId="4" borderId="0" xfId="0" applyFont="1" applyFill="1" applyBorder="1" applyAlignment="1">
      <alignment horizontal="center"/>
    </xf>
    <xf numFmtId="0" fontId="0" fillId="4" borderId="7" xfId="0" applyFill="1" applyBorder="1"/>
    <xf numFmtId="3" fontId="0" fillId="4" borderId="7" xfId="0" applyNumberFormat="1" applyFont="1" applyFill="1" applyBorder="1"/>
    <xf numFmtId="0" fontId="9" fillId="4" borderId="7" xfId="0" applyFont="1" applyFill="1" applyBorder="1" applyAlignment="1">
      <alignment horizontal="center" vertical="center" wrapText="1"/>
    </xf>
    <xf numFmtId="0" fontId="9" fillId="4" borderId="7" xfId="0" applyFont="1" applyFill="1" applyBorder="1" applyAlignment="1">
      <alignment horizontal="center" vertical="center"/>
    </xf>
    <xf numFmtId="0" fontId="0" fillId="4" borderId="2" xfId="0" applyFill="1" applyBorder="1"/>
    <xf numFmtId="0" fontId="2" fillId="0" borderId="26" xfId="0" applyFont="1" applyBorder="1"/>
    <xf numFmtId="0" fontId="0" fillId="0" borderId="27" xfId="0" applyBorder="1"/>
    <xf numFmtId="0" fontId="0" fillId="0" borderId="28" xfId="0" applyBorder="1"/>
    <xf numFmtId="0" fontId="0" fillId="0" borderId="29" xfId="0" applyBorder="1"/>
    <xf numFmtId="0" fontId="0" fillId="0" borderId="30" xfId="0" applyBorder="1"/>
    <xf numFmtId="0" fontId="7" fillId="0" borderId="29" xfId="0" applyFont="1" applyBorder="1"/>
    <xf numFmtId="0" fontId="0" fillId="4" borderId="31" xfId="0" applyFill="1" applyBorder="1" applyAlignment="1">
      <alignment horizontal="center"/>
    </xf>
    <xf numFmtId="0" fontId="0" fillId="4" borderId="32" xfId="0" applyFill="1" applyBorder="1"/>
    <xf numFmtId="0" fontId="3" fillId="4" borderId="29" xfId="0" applyFont="1" applyFill="1" applyBorder="1" applyAlignment="1">
      <alignment horizontal="center"/>
    </xf>
    <xf numFmtId="0" fontId="0" fillId="4" borderId="30" xfId="0" applyFill="1" applyBorder="1"/>
    <xf numFmtId="0" fontId="0" fillId="4" borderId="33" xfId="0" applyFill="1" applyBorder="1"/>
    <xf numFmtId="0" fontId="0" fillId="4" borderId="34" xfId="0" applyFill="1" applyBorder="1"/>
    <xf numFmtId="15" fontId="0" fillId="0" borderId="29" xfId="0" applyNumberFormat="1" applyFill="1" applyBorder="1"/>
    <xf numFmtId="15" fontId="0" fillId="0" borderId="35" xfId="0" applyNumberFormat="1" applyFill="1" applyBorder="1"/>
    <xf numFmtId="0" fontId="8" fillId="0" borderId="36" xfId="0" applyFont="1" applyBorder="1"/>
    <xf numFmtId="3" fontId="0" fillId="0" borderId="36" xfId="0" applyNumberFormat="1" applyFont="1" applyBorder="1"/>
    <xf numFmtId="165" fontId="0" fillId="0" borderId="36" xfId="0" applyNumberFormat="1" applyBorder="1"/>
    <xf numFmtId="0" fontId="0" fillId="0" borderId="36" xfId="0" applyBorder="1"/>
    <xf numFmtId="4" fontId="0" fillId="0" borderId="36" xfId="0" applyNumberFormat="1" applyBorder="1"/>
    <xf numFmtId="0" fontId="0" fillId="0" borderId="37" xfId="0" applyBorder="1"/>
    <xf numFmtId="0" fontId="0" fillId="0" borderId="30" xfId="0" applyBorder="1" applyAlignment="1">
      <alignment horizontal="center"/>
    </xf>
    <xf numFmtId="0" fontId="0" fillId="0" borderId="37" xfId="0" applyBorder="1" applyAlignment="1">
      <alignment horizontal="center"/>
    </xf>
    <xf numFmtId="0" fontId="3" fillId="4" borderId="7" xfId="0" applyFont="1" applyFill="1" applyBorder="1" applyAlignment="1">
      <alignment horizontal="center"/>
    </xf>
    <xf numFmtId="0" fontId="0" fillId="3" borderId="7" xfId="0" applyFill="1" applyBorder="1"/>
    <xf numFmtId="0" fontId="25" fillId="0" borderId="0" xfId="0" applyFont="1"/>
    <xf numFmtId="15" fontId="0" fillId="0" borderId="0" xfId="0" applyNumberFormat="1" applyFill="1" applyBorder="1"/>
    <xf numFmtId="15" fontId="0" fillId="0" borderId="31" xfId="0" applyNumberFormat="1" applyFill="1" applyBorder="1"/>
    <xf numFmtId="0" fontId="0" fillId="0" borderId="2" xfId="0" applyFill="1" applyBorder="1"/>
    <xf numFmtId="0" fontId="0" fillId="0" borderId="32" xfId="0" applyBorder="1" applyAlignment="1">
      <alignment horizontal="center"/>
    </xf>
    <xf numFmtId="4" fontId="0" fillId="0" borderId="0" xfId="0" applyNumberFormat="1" applyFont="1" applyBorder="1"/>
    <xf numFmtId="0" fontId="3" fillId="0" borderId="0" xfId="0" applyFont="1" applyBorder="1"/>
    <xf numFmtId="0" fontId="26" fillId="0" borderId="0" xfId="0" applyFont="1" applyBorder="1"/>
    <xf numFmtId="164" fontId="3" fillId="0" borderId="0" xfId="4" applyFont="1" applyBorder="1" applyAlignment="1">
      <alignment horizontal="left"/>
    </xf>
    <xf numFmtId="4" fontId="3" fillId="0" borderId="0" xfId="0" applyNumberFormat="1" applyFont="1" applyBorder="1"/>
    <xf numFmtId="0" fontId="3" fillId="3" borderId="0" xfId="0" applyFont="1" applyFill="1" applyBorder="1"/>
    <xf numFmtId="0" fontId="26" fillId="3" borderId="0" xfId="0" applyFont="1" applyFill="1" applyBorder="1"/>
    <xf numFmtId="0" fontId="27" fillId="3" borderId="0" xfId="0" applyFont="1" applyFill="1" applyBorder="1"/>
    <xf numFmtId="4" fontId="27" fillId="3" borderId="0" xfId="0" applyNumberFormat="1" applyFont="1" applyFill="1" applyBorder="1" applyAlignment="1">
      <alignment horizontal="right"/>
    </xf>
    <xf numFmtId="0" fontId="28" fillId="3" borderId="0" xfId="0" applyFont="1" applyFill="1" applyBorder="1"/>
    <xf numFmtId="0" fontId="29" fillId="3" borderId="0" xfId="0" applyFont="1" applyFill="1" applyBorder="1"/>
    <xf numFmtId="164" fontId="27" fillId="0" borderId="0" xfId="0" applyNumberFormat="1" applyFont="1" applyBorder="1"/>
    <xf numFmtId="0" fontId="27" fillId="0" borderId="0" xfId="0" applyFont="1" applyBorder="1"/>
    <xf numFmtId="0" fontId="3" fillId="0" borderId="26" xfId="0" applyFont="1" applyBorder="1"/>
    <xf numFmtId="0" fontId="3" fillId="0" borderId="27" xfId="0" applyFont="1" applyBorder="1"/>
    <xf numFmtId="0" fontId="3" fillId="0" borderId="28" xfId="0" applyFont="1" applyBorder="1"/>
    <xf numFmtId="0" fontId="26" fillId="0" borderId="29" xfId="0" applyFont="1" applyFill="1" applyBorder="1"/>
    <xf numFmtId="0" fontId="3" fillId="0" borderId="30" xfId="0" applyFont="1" applyBorder="1"/>
    <xf numFmtId="0" fontId="3" fillId="0" borderId="29" xfId="0" applyFont="1" applyBorder="1"/>
    <xf numFmtId="0" fontId="3" fillId="3" borderId="29" xfId="0" applyFont="1" applyFill="1" applyBorder="1"/>
    <xf numFmtId="0" fontId="3" fillId="3" borderId="30" xfId="0" applyFont="1" applyFill="1" applyBorder="1"/>
    <xf numFmtId="0" fontId="27" fillId="3" borderId="29" xfId="0" applyFont="1" applyFill="1" applyBorder="1"/>
    <xf numFmtId="0" fontId="26" fillId="3" borderId="29" xfId="0" applyFont="1" applyFill="1" applyBorder="1"/>
    <xf numFmtId="0" fontId="26" fillId="0" borderId="35" xfId="0" applyFont="1" applyBorder="1"/>
    <xf numFmtId="0" fontId="3" fillId="0" borderId="36" xfId="0" applyFont="1" applyBorder="1"/>
    <xf numFmtId="0" fontId="3" fillId="0" borderId="37" xfId="0" applyFont="1" applyBorder="1"/>
    <xf numFmtId="0" fontId="24" fillId="3" borderId="26" xfId="0" applyFont="1" applyFill="1" applyBorder="1"/>
    <xf numFmtId="0" fontId="0" fillId="3" borderId="27" xfId="0" applyFill="1" applyBorder="1"/>
    <xf numFmtId="0" fontId="0" fillId="3" borderId="28" xfId="0" applyFill="1" applyBorder="1"/>
    <xf numFmtId="0" fontId="9" fillId="3" borderId="33" xfId="0" applyFont="1" applyFill="1" applyBorder="1"/>
    <xf numFmtId="0" fontId="0" fillId="3" borderId="34" xfId="0" applyFill="1" applyBorder="1"/>
    <xf numFmtId="0" fontId="0" fillId="4" borderId="31" xfId="0" applyFill="1" applyBorder="1"/>
    <xf numFmtId="0" fontId="3" fillId="4" borderId="33" xfId="0" applyFont="1" applyFill="1" applyBorder="1" applyAlignment="1">
      <alignment horizontal="center"/>
    </xf>
    <xf numFmtId="0" fontId="5" fillId="0" borderId="29" xfId="0" applyFont="1" applyBorder="1"/>
    <xf numFmtId="0" fontId="8" fillId="0" borderId="29" xfId="0" applyFont="1" applyBorder="1"/>
    <xf numFmtId="0" fontId="0" fillId="0" borderId="35" xfId="0" applyBorder="1"/>
    <xf numFmtId="0" fontId="0" fillId="3" borderId="0" xfId="0" applyFont="1" applyFill="1" applyBorder="1"/>
    <xf numFmtId="0" fontId="31" fillId="3" borderId="0" xfId="0" applyFont="1" applyFill="1" applyBorder="1"/>
    <xf numFmtId="0" fontId="0" fillId="3" borderId="29" xfId="0" applyFont="1" applyFill="1" applyBorder="1"/>
    <xf numFmtId="0" fontId="0" fillId="3" borderId="30" xfId="0" applyFont="1" applyFill="1" applyBorder="1"/>
    <xf numFmtId="0" fontId="0" fillId="4" borderId="0" xfId="0" applyFont="1" applyFill="1" applyBorder="1"/>
    <xf numFmtId="4" fontId="1" fillId="6" borderId="0" xfId="0" applyNumberFormat="1" applyFont="1" applyFill="1" applyBorder="1"/>
    <xf numFmtId="0" fontId="1" fillId="6" borderId="0" xfId="0" applyFont="1" applyFill="1" applyBorder="1"/>
    <xf numFmtId="0" fontId="0" fillId="6" borderId="0" xfId="0" applyFont="1" applyFill="1" applyBorder="1"/>
    <xf numFmtId="0" fontId="0" fillId="6" borderId="36" xfId="0" applyFont="1" applyFill="1" applyBorder="1" applyAlignment="1"/>
    <xf numFmtId="0" fontId="0" fillId="6" borderId="36" xfId="0" applyFont="1" applyFill="1" applyBorder="1"/>
    <xf numFmtId="0" fontId="1" fillId="6" borderId="29" xfId="0" applyFont="1" applyFill="1" applyBorder="1"/>
    <xf numFmtId="0" fontId="0" fillId="6" borderId="35" xfId="0" applyFont="1" applyFill="1" applyBorder="1"/>
    <xf numFmtId="0" fontId="31" fillId="6" borderId="36" xfId="0" applyFont="1" applyFill="1" applyBorder="1"/>
    <xf numFmtId="0" fontId="0" fillId="6" borderId="30" xfId="0" applyFont="1" applyFill="1" applyBorder="1"/>
    <xf numFmtId="0" fontId="0" fillId="6" borderId="37" xfId="0" applyFont="1" applyFill="1" applyBorder="1"/>
    <xf numFmtId="0" fontId="3" fillId="4" borderId="26" xfId="0" applyFont="1" applyFill="1" applyBorder="1" applyAlignment="1">
      <alignment horizontal="center"/>
    </xf>
    <xf numFmtId="0" fontId="3" fillId="4" borderId="27" xfId="0" applyFont="1" applyFill="1" applyBorder="1" applyAlignment="1">
      <alignment horizontal="center"/>
    </xf>
    <xf numFmtId="0" fontId="3" fillId="4" borderId="28" xfId="0" applyFont="1" applyFill="1" applyBorder="1" applyAlignment="1">
      <alignment horizontal="center"/>
    </xf>
    <xf numFmtId="0" fontId="0" fillId="4" borderId="29" xfId="0" applyFont="1" applyFill="1" applyBorder="1"/>
    <xf numFmtId="0" fontId="0" fillId="4" borderId="30" xfId="0" applyFont="1" applyFill="1" applyBorder="1"/>
    <xf numFmtId="0" fontId="0" fillId="3" borderId="0" xfId="0" applyFont="1" applyFill="1" applyBorder="1" applyAlignment="1">
      <alignment horizontal="left"/>
    </xf>
    <xf numFmtId="0" fontId="0" fillId="3" borderId="0" xfId="0" quotePrefix="1" applyFont="1" applyFill="1" applyBorder="1" applyAlignment="1">
      <alignment horizontal="left"/>
    </xf>
    <xf numFmtId="4" fontId="19" fillId="3" borderId="0" xfId="0" applyNumberFormat="1" applyFont="1" applyFill="1" applyBorder="1" applyAlignment="1">
      <alignment horizontal="center"/>
    </xf>
    <xf numFmtId="4" fontId="9" fillId="0" borderId="0" xfId="0" applyNumberFormat="1" applyFont="1" applyBorder="1"/>
    <xf numFmtId="3" fontId="9" fillId="0" borderId="0" xfId="0" applyNumberFormat="1" applyFont="1" applyBorder="1"/>
    <xf numFmtId="0" fontId="1" fillId="4" borderId="1" xfId="0" applyFont="1" applyFill="1" applyBorder="1"/>
    <xf numFmtId="0" fontId="0" fillId="4" borderId="7" xfId="0" applyFill="1" applyBorder="1" applyAlignment="1">
      <alignment horizontal="center"/>
    </xf>
    <xf numFmtId="0" fontId="0" fillId="4" borderId="8" xfId="0" applyFill="1" applyBorder="1" applyAlignment="1">
      <alignment horizontal="center"/>
    </xf>
    <xf numFmtId="0" fontId="3" fillId="0" borderId="0" xfId="0" applyFont="1" applyFill="1"/>
    <xf numFmtId="14" fontId="3" fillId="0" borderId="0" xfId="0" applyNumberFormat="1" applyFont="1" applyFill="1"/>
    <xf numFmtId="0" fontId="3" fillId="0" borderId="0" xfId="0" applyFont="1" applyFill="1" applyAlignment="1">
      <alignment horizontal="center"/>
    </xf>
    <xf numFmtId="0" fontId="0" fillId="0" borderId="0" xfId="0" applyAlignment="1">
      <alignment horizontal="center"/>
    </xf>
    <xf numFmtId="0" fontId="33" fillId="4" borderId="1" xfId="0" applyFont="1" applyFill="1" applyBorder="1" applyAlignment="1">
      <alignment horizontal="left"/>
    </xf>
    <xf numFmtId="0" fontId="34" fillId="4" borderId="1" xfId="0" applyFont="1" applyFill="1" applyBorder="1" applyAlignment="1">
      <alignment horizontal="left"/>
    </xf>
    <xf numFmtId="3" fontId="1" fillId="0" borderId="0" xfId="0" applyNumberFormat="1" applyFont="1" applyFill="1" applyBorder="1"/>
    <xf numFmtId="15" fontId="1" fillId="0" borderId="4" xfId="0" applyNumberFormat="1" applyFont="1" applyFill="1" applyBorder="1"/>
    <xf numFmtId="2" fontId="1" fillId="0" borderId="0" xfId="0" applyNumberFormat="1" applyFont="1" applyFill="1" applyBorder="1"/>
    <xf numFmtId="0" fontId="1" fillId="0" borderId="0" xfId="0" applyFont="1" applyFill="1" applyBorder="1" applyAlignment="1">
      <alignment horizontal="center"/>
    </xf>
    <xf numFmtId="4" fontId="9" fillId="0" borderId="5" xfId="0" applyNumberFormat="1" applyFont="1" applyBorder="1"/>
    <xf numFmtId="0" fontId="7" fillId="4" borderId="6" xfId="0" applyFont="1" applyFill="1" applyBorder="1" applyAlignment="1">
      <alignment horizontal="center"/>
    </xf>
    <xf numFmtId="4" fontId="37" fillId="0" borderId="0" xfId="0" applyNumberFormat="1" applyFont="1" applyBorder="1"/>
    <xf numFmtId="0" fontId="0" fillId="0" borderId="36" xfId="0" applyFill="1" applyBorder="1"/>
    <xf numFmtId="4" fontId="10" fillId="3" borderId="0" xfId="0" applyNumberFormat="1" applyFont="1" applyFill="1" applyBorder="1"/>
    <xf numFmtId="4" fontId="0" fillId="3" borderId="0" xfId="0" applyNumberFormat="1" applyFont="1" applyFill="1" applyBorder="1"/>
    <xf numFmtId="4" fontId="13" fillId="3" borderId="0" xfId="0" applyNumberFormat="1" applyFont="1" applyFill="1" applyBorder="1"/>
    <xf numFmtId="4" fontId="0" fillId="2" borderId="0" xfId="0" applyNumberFormat="1" applyFont="1" applyFill="1" applyBorder="1"/>
    <xf numFmtId="0" fontId="39" fillId="0" borderId="0" xfId="1" applyFont="1" applyAlignment="1">
      <alignment horizontal="left"/>
    </xf>
    <xf numFmtId="0" fontId="17" fillId="0" borderId="0" xfId="1" applyFont="1" applyAlignment="1">
      <alignment horizontal="center"/>
    </xf>
    <xf numFmtId="0" fontId="17" fillId="0" borderId="0" xfId="1" applyFont="1" applyAlignment="1">
      <alignment horizontal="left"/>
    </xf>
    <xf numFmtId="0" fontId="17" fillId="0" borderId="0" xfId="1" applyFont="1"/>
    <xf numFmtId="0" fontId="17" fillId="0" borderId="0" xfId="1" applyFont="1" applyAlignment="1">
      <alignment horizontal="right"/>
    </xf>
    <xf numFmtId="0" fontId="15" fillId="0" borderId="0" xfId="1"/>
    <xf numFmtId="0" fontId="17" fillId="0" borderId="4" xfId="1" applyFont="1" applyBorder="1" applyAlignment="1">
      <alignment horizontal="center"/>
    </xf>
    <xf numFmtId="0" fontId="17" fillId="0" borderId="0" xfId="1" applyFont="1" applyBorder="1" applyAlignment="1">
      <alignment horizontal="center"/>
    </xf>
    <xf numFmtId="168" fontId="17" fillId="0" borderId="0" xfId="1" applyNumberFormat="1" applyFont="1" applyBorder="1" applyAlignment="1">
      <alignment horizontal="right"/>
    </xf>
    <xf numFmtId="0" fontId="17" fillId="0" borderId="0" xfId="1" applyFont="1" applyBorder="1"/>
    <xf numFmtId="0" fontId="17" fillId="0" borderId="5" xfId="1" applyFont="1" applyBorder="1"/>
    <xf numFmtId="170" fontId="17" fillId="0" borderId="2" xfId="1" applyNumberFormat="1" applyFont="1" applyBorder="1"/>
    <xf numFmtId="170" fontId="17" fillId="0" borderId="3" xfId="1" applyNumberFormat="1" applyFont="1" applyBorder="1"/>
    <xf numFmtId="170" fontId="17" fillId="0" borderId="0" xfId="1" applyNumberFormat="1" applyFont="1" applyBorder="1" applyAlignment="1">
      <alignment horizontal="center"/>
    </xf>
    <xf numFmtId="170" fontId="17" fillId="0" borderId="0" xfId="1" applyNumberFormat="1" applyFont="1" applyBorder="1"/>
    <xf numFmtId="170" fontId="17" fillId="0" borderId="5" xfId="1" applyNumberFormat="1" applyFont="1" applyBorder="1"/>
    <xf numFmtId="0" fontId="17" fillId="0" borderId="4" xfId="1" applyFont="1" applyBorder="1" applyAlignment="1">
      <alignment horizontal="center" vertical="center"/>
    </xf>
    <xf numFmtId="0" fontId="17" fillId="0" borderId="0" xfId="1" applyFont="1" applyBorder="1" applyAlignment="1">
      <alignment horizontal="center" vertical="center"/>
    </xf>
    <xf numFmtId="170" fontId="36" fillId="0" borderId="0" xfId="1" applyNumberFormat="1" applyFont="1" applyBorder="1" applyAlignment="1">
      <alignment horizontal="center" wrapText="1"/>
    </xf>
    <xf numFmtId="0" fontId="17" fillId="0" borderId="5" xfId="1" applyFont="1" applyBorder="1" applyAlignment="1">
      <alignment horizontal="center"/>
    </xf>
    <xf numFmtId="170" fontId="17" fillId="0" borderId="5" xfId="1" applyNumberFormat="1" applyFont="1" applyBorder="1" applyAlignment="1">
      <alignment horizontal="center"/>
    </xf>
    <xf numFmtId="0" fontId="41" fillId="5" borderId="4" xfId="1" applyFont="1" applyFill="1" applyBorder="1" applyAlignment="1">
      <alignment horizontal="center"/>
    </xf>
    <xf numFmtId="170" fontId="41" fillId="5" borderId="0" xfId="1" applyNumberFormat="1" applyFont="1" applyFill="1" applyBorder="1" applyAlignment="1">
      <alignment horizontal="center"/>
    </xf>
    <xf numFmtId="170" fontId="41" fillId="5" borderId="5" xfId="1" applyNumberFormat="1" applyFont="1" applyFill="1" applyBorder="1" applyAlignment="1">
      <alignment horizontal="center"/>
    </xf>
    <xf numFmtId="170" fontId="17" fillId="0" borderId="4" xfId="1" applyNumberFormat="1" applyFont="1" applyBorder="1" applyAlignment="1">
      <alignment horizontal="center"/>
    </xf>
    <xf numFmtId="0" fontId="17" fillId="0" borderId="0" xfId="1" applyFont="1" applyBorder="1" applyAlignment="1">
      <alignment horizontal="right"/>
    </xf>
    <xf numFmtId="168" fontId="17" fillId="0" borderId="0" xfId="1" applyNumberFormat="1" applyFont="1" applyFill="1" applyBorder="1" applyAlignment="1">
      <alignment horizontal="right"/>
    </xf>
    <xf numFmtId="0" fontId="18" fillId="5" borderId="42" xfId="1" applyFont="1" applyFill="1" applyBorder="1" applyAlignment="1">
      <alignment horizontal="center" vertical="center" wrapText="1"/>
    </xf>
    <xf numFmtId="0" fontId="19" fillId="0" borderId="0" xfId="1" applyFont="1" applyBorder="1" applyAlignment="1">
      <alignment horizontal="center"/>
    </xf>
    <xf numFmtId="0" fontId="17" fillId="0" borderId="6" xfId="1" applyFont="1" applyBorder="1" applyAlignment="1">
      <alignment horizontal="center"/>
    </xf>
    <xf numFmtId="0" fontId="17" fillId="0" borderId="7" xfId="1" applyFont="1" applyBorder="1" applyAlignment="1">
      <alignment horizontal="center"/>
    </xf>
    <xf numFmtId="0" fontId="19" fillId="0" borderId="7" xfId="1" applyFont="1" applyBorder="1" applyAlignment="1">
      <alignment horizontal="center"/>
    </xf>
    <xf numFmtId="168" fontId="17" fillId="0" borderId="7" xfId="1" applyNumberFormat="1" applyFont="1" applyFill="1" applyBorder="1" applyAlignment="1">
      <alignment horizontal="right"/>
    </xf>
    <xf numFmtId="0" fontId="19" fillId="0" borderId="0" xfId="1" applyFont="1" applyAlignment="1">
      <alignment horizontal="center"/>
    </xf>
    <xf numFmtId="171" fontId="17" fillId="0" borderId="0" xfId="1" applyNumberFormat="1" applyFont="1" applyFill="1" applyBorder="1" applyAlignment="1">
      <alignment horizontal="left"/>
    </xf>
    <xf numFmtId="0" fontId="15" fillId="0" borderId="0" xfId="1" applyBorder="1" applyAlignment="1">
      <alignment horizontal="center"/>
    </xf>
    <xf numFmtId="0" fontId="15" fillId="0" borderId="0" xfId="1" applyAlignment="1">
      <alignment horizontal="center"/>
    </xf>
    <xf numFmtId="0" fontId="45" fillId="0" borderId="0" xfId="1" applyFont="1" applyAlignment="1">
      <alignment horizontal="center"/>
    </xf>
    <xf numFmtId="171" fontId="15" fillId="0" borderId="0" xfId="1" applyNumberFormat="1" applyFill="1" applyBorder="1" applyAlignment="1">
      <alignment horizontal="left"/>
    </xf>
    <xf numFmtId="0" fontId="15" fillId="0" borderId="0" xfId="1" applyAlignment="1">
      <alignment horizontal="right"/>
    </xf>
    <xf numFmtId="0" fontId="15" fillId="0" borderId="0" xfId="1" applyAlignment="1">
      <alignment horizontal="left"/>
    </xf>
    <xf numFmtId="0" fontId="17" fillId="5" borderId="0" xfId="1" applyFont="1" applyFill="1" applyBorder="1" applyAlignment="1">
      <alignment horizontal="center"/>
    </xf>
    <xf numFmtId="0" fontId="40" fillId="5" borderId="1" xfId="1" applyFont="1" applyFill="1" applyBorder="1" applyAlignment="1">
      <alignment horizontal="left"/>
    </xf>
    <xf numFmtId="0" fontId="41" fillId="5" borderId="2" xfId="1" applyFont="1" applyFill="1" applyBorder="1" applyAlignment="1">
      <alignment horizontal="center"/>
    </xf>
    <xf numFmtId="0" fontId="41" fillId="5" borderId="2" xfId="1" applyFont="1" applyFill="1" applyBorder="1" applyAlignment="1">
      <alignment horizontal="left"/>
    </xf>
    <xf numFmtId="0" fontId="41" fillId="5" borderId="3" xfId="1" applyFont="1" applyFill="1" applyBorder="1"/>
    <xf numFmtId="0" fontId="18" fillId="5" borderId="6" xfId="1" applyFont="1" applyFill="1" applyBorder="1" applyAlignment="1">
      <alignment horizontal="center" vertical="center" wrapText="1"/>
    </xf>
    <xf numFmtId="0" fontId="18" fillId="5" borderId="7" xfId="1" applyFont="1" applyFill="1" applyBorder="1" applyAlignment="1">
      <alignment horizontal="center" vertical="center" wrapText="1"/>
    </xf>
    <xf numFmtId="0" fontId="1" fillId="0" borderId="29" xfId="0" applyFont="1" applyBorder="1"/>
    <xf numFmtId="0" fontId="20" fillId="0" borderId="0" xfId="3" applyBorder="1"/>
    <xf numFmtId="0" fontId="0" fillId="0" borderId="0" xfId="0" quotePrefix="1" applyBorder="1"/>
    <xf numFmtId="0" fontId="1" fillId="0" borderId="35" xfId="0" applyFont="1" applyBorder="1"/>
    <xf numFmtId="0" fontId="48" fillId="0" borderId="0" xfId="0" applyFont="1"/>
    <xf numFmtId="0" fontId="5" fillId="6" borderId="4" xfId="1" applyFont="1" applyFill="1" applyBorder="1" applyAlignment="1">
      <alignment horizontal="center"/>
    </xf>
    <xf numFmtId="0" fontId="5" fillId="6" borderId="0" xfId="1" applyFont="1" applyFill="1" applyBorder="1" applyAlignment="1">
      <alignment horizontal="center"/>
    </xf>
    <xf numFmtId="168" fontId="5" fillId="6" borderId="0" xfId="1" applyNumberFormat="1" applyFont="1" applyFill="1" applyBorder="1" applyAlignment="1">
      <alignment horizontal="right"/>
    </xf>
    <xf numFmtId="168" fontId="5" fillId="6" borderId="5" xfId="1" applyNumberFormat="1" applyFont="1" applyFill="1" applyBorder="1" applyAlignment="1">
      <alignment horizontal="right"/>
    </xf>
    <xf numFmtId="0" fontId="5" fillId="6" borderId="0" xfId="1" applyFont="1" applyFill="1" applyBorder="1" applyAlignment="1">
      <alignment horizontal="right"/>
    </xf>
    <xf numFmtId="4" fontId="38" fillId="0" borderId="36" xfId="0" applyNumberFormat="1" applyFont="1" applyBorder="1"/>
    <xf numFmtId="0" fontId="30" fillId="0" borderId="0" xfId="0" applyFont="1" applyBorder="1" applyAlignment="1">
      <alignment horizontal="left"/>
    </xf>
    <xf numFmtId="0" fontId="30" fillId="0" borderId="0" xfId="0" applyFont="1" applyBorder="1" applyAlignment="1">
      <alignment horizontal="center"/>
    </xf>
    <xf numFmtId="0" fontId="49" fillId="0" borderId="26" xfId="0" applyFont="1" applyBorder="1"/>
    <xf numFmtId="172" fontId="0" fillId="0" borderId="0" xfId="0" applyNumberFormat="1" applyAlignment="1">
      <alignment horizontal="center"/>
    </xf>
    <xf numFmtId="0" fontId="0" fillId="0" borderId="0" xfId="0" applyAlignment="1">
      <alignment horizontal="right"/>
    </xf>
    <xf numFmtId="0" fontId="26" fillId="4" borderId="0" xfId="0" applyFont="1" applyFill="1" applyBorder="1" applyAlignment="1">
      <alignment horizontal="center"/>
    </xf>
    <xf numFmtId="0" fontId="8" fillId="0" borderId="50" xfId="0" applyFont="1" applyBorder="1" applyAlignment="1">
      <alignment horizontal="right"/>
    </xf>
    <xf numFmtId="4" fontId="0" fillId="0" borderId="51" xfId="0" applyNumberFormat="1" applyBorder="1"/>
    <xf numFmtId="0" fontId="9" fillId="0" borderId="52" xfId="0" applyFont="1" applyBorder="1" applyAlignment="1">
      <alignment horizontal="right"/>
    </xf>
    <xf numFmtId="0" fontId="51" fillId="0" borderId="0" xfId="0" applyFont="1"/>
    <xf numFmtId="0" fontId="0" fillId="0" borderId="29" xfId="0" applyBorder="1" applyAlignment="1">
      <alignment horizontal="right"/>
    </xf>
    <xf numFmtId="172" fontId="0" fillId="0" borderId="0" xfId="0" applyNumberFormat="1" applyBorder="1" applyAlignment="1">
      <alignment horizontal="center" vertical="center"/>
    </xf>
    <xf numFmtId="0" fontId="50" fillId="6" borderId="26" xfId="0" applyFont="1" applyFill="1" applyBorder="1"/>
    <xf numFmtId="0" fontId="0" fillId="6" borderId="27" xfId="0" applyFill="1" applyBorder="1" applyAlignment="1">
      <alignment horizontal="center"/>
    </xf>
    <xf numFmtId="0" fontId="0" fillId="6" borderId="28" xfId="0" applyFill="1" applyBorder="1"/>
    <xf numFmtId="172" fontId="0" fillId="0" borderId="0" xfId="0" applyNumberFormat="1" applyBorder="1" applyAlignment="1">
      <alignment horizontal="center"/>
    </xf>
    <xf numFmtId="0" fontId="2" fillId="0" borderId="29" xfId="0" applyFont="1" applyBorder="1" applyAlignment="1">
      <alignment horizontal="left"/>
    </xf>
    <xf numFmtId="0" fontId="1" fillId="0" borderId="29" xfId="0" applyFont="1" applyBorder="1" applyAlignment="1">
      <alignment horizontal="left"/>
    </xf>
    <xf numFmtId="0" fontId="20" fillId="0" borderId="29" xfId="3" applyBorder="1" applyAlignment="1">
      <alignment vertical="center"/>
    </xf>
    <xf numFmtId="0" fontId="0" fillId="0" borderId="0" xfId="0" applyBorder="1" applyAlignment="1">
      <alignment horizontal="left" vertical="top" wrapText="1"/>
    </xf>
    <xf numFmtId="0" fontId="0" fillId="0" borderId="30" xfId="0" applyBorder="1" applyAlignment="1">
      <alignment horizontal="left" vertical="top" wrapText="1"/>
    </xf>
    <xf numFmtId="0" fontId="0" fillId="0" borderId="29" xfId="0" applyBorder="1" applyAlignment="1">
      <alignment horizontal="left" vertical="top" wrapText="1"/>
    </xf>
    <xf numFmtId="0" fontId="20" fillId="0" borderId="29" xfId="3" applyBorder="1" applyAlignment="1">
      <alignment vertical="top"/>
    </xf>
    <xf numFmtId="0" fontId="20" fillId="0" borderId="29" xfId="3" applyBorder="1"/>
    <xf numFmtId="0" fontId="0" fillId="0" borderId="36" xfId="0" applyBorder="1" applyAlignment="1">
      <alignment horizontal="center"/>
    </xf>
    <xf numFmtId="0" fontId="2" fillId="0" borderId="0" xfId="0" applyFont="1" applyAlignment="1">
      <alignment horizontal="left" vertical="center"/>
    </xf>
    <xf numFmtId="170" fontId="17" fillId="0" borderId="0" xfId="0" applyNumberFormat="1" applyFont="1" applyBorder="1"/>
    <xf numFmtId="170" fontId="17" fillId="0" borderId="8" xfId="0" applyNumberFormat="1" applyFont="1" applyFill="1" applyBorder="1" applyAlignment="1">
      <alignment horizontal="center"/>
    </xf>
    <xf numFmtId="170" fontId="17" fillId="0" borderId="7" xfId="0" applyNumberFormat="1" applyFont="1" applyFill="1" applyBorder="1" applyAlignment="1">
      <alignment horizontal="center"/>
    </xf>
    <xf numFmtId="170" fontId="17" fillId="0" borderId="6" xfId="0" applyNumberFormat="1" applyFont="1" applyFill="1" applyBorder="1" applyAlignment="1">
      <alignment horizontal="center"/>
    </xf>
    <xf numFmtId="170" fontId="17" fillId="0" borderId="7" xfId="0" applyNumberFormat="1" applyFont="1" applyBorder="1" applyAlignment="1">
      <alignment horizontal="center"/>
    </xf>
    <xf numFmtId="170" fontId="17" fillId="0" borderId="5" xfId="0" applyNumberFormat="1" applyFont="1" applyBorder="1" applyAlignment="1">
      <alignment horizontal="center"/>
    </xf>
    <xf numFmtId="170" fontId="17" fillId="0" borderId="0" xfId="0" applyNumberFormat="1" applyFont="1" applyBorder="1" applyAlignment="1">
      <alignment horizontal="center"/>
    </xf>
    <xf numFmtId="170" fontId="17" fillId="0" borderId="4" xfId="0" applyNumberFormat="1" applyFont="1" applyBorder="1" applyAlignment="1">
      <alignment horizontal="center"/>
    </xf>
    <xf numFmtId="0" fontId="41" fillId="5" borderId="4" xfId="0" applyFont="1" applyFill="1" applyBorder="1" applyAlignment="1">
      <alignment horizontal="center"/>
    </xf>
    <xf numFmtId="170" fontId="41" fillId="5" borderId="0" xfId="0" applyNumberFormat="1" applyFont="1" applyFill="1" applyBorder="1" applyAlignment="1">
      <alignment horizontal="center"/>
    </xf>
    <xf numFmtId="170" fontId="41" fillId="5" borderId="5" xfId="0" applyNumberFormat="1" applyFont="1" applyFill="1" applyBorder="1" applyAlignment="1">
      <alignment horizontal="center"/>
    </xf>
    <xf numFmtId="0" fontId="41" fillId="5" borderId="1" xfId="1" applyFont="1" applyFill="1" applyBorder="1"/>
    <xf numFmtId="4" fontId="25" fillId="0" borderId="0" xfId="0" applyNumberFormat="1" applyFont="1" applyFill="1" applyBorder="1"/>
    <xf numFmtId="0" fontId="32" fillId="4" borderId="1" xfId="0" applyFont="1" applyFill="1" applyBorder="1" applyAlignment="1">
      <alignment horizontal="left"/>
    </xf>
    <xf numFmtId="0" fontId="0" fillId="0" borderId="0" xfId="0"/>
    <xf numFmtId="0" fontId="0" fillId="0" borderId="0" xfId="0" applyBorder="1"/>
    <xf numFmtId="0" fontId="1" fillId="3" borderId="0" xfId="0" applyFont="1" applyFill="1" applyBorder="1"/>
    <xf numFmtId="4" fontId="19" fillId="3" borderId="23" xfId="0" applyNumberFormat="1" applyFont="1" applyFill="1" applyBorder="1" applyAlignment="1">
      <alignment horizontal="center"/>
    </xf>
    <xf numFmtId="4" fontId="9" fillId="0" borderId="25" xfId="0" applyNumberFormat="1" applyFont="1" applyBorder="1"/>
    <xf numFmtId="3" fontId="9" fillId="0" borderId="25" xfId="0" applyNumberFormat="1" applyFont="1" applyBorder="1"/>
    <xf numFmtId="167" fontId="19" fillId="2" borderId="22" xfId="0" applyNumberFormat="1" applyFont="1" applyFill="1" applyBorder="1"/>
    <xf numFmtId="17" fontId="19" fillId="2" borderId="23" xfId="0" applyNumberFormat="1" applyFont="1" applyFill="1" applyBorder="1" applyAlignment="1">
      <alignment horizontal="left" wrapText="1"/>
    </xf>
    <xf numFmtId="3" fontId="19" fillId="2" borderId="23" xfId="0" applyNumberFormat="1" applyFont="1" applyFill="1" applyBorder="1" applyAlignment="1">
      <alignment horizontal="right"/>
    </xf>
    <xf numFmtId="3" fontId="19" fillId="2" borderId="23" xfId="0" applyNumberFormat="1" applyFont="1" applyFill="1" applyBorder="1"/>
    <xf numFmtId="4" fontId="19" fillId="2" borderId="23" xfId="0" applyNumberFormat="1" applyFont="1" applyFill="1" applyBorder="1" applyAlignment="1">
      <alignment horizontal="center"/>
    </xf>
    <xf numFmtId="166" fontId="19" fillId="2" borderId="23" xfId="0" applyNumberFormat="1" applyFont="1" applyFill="1" applyBorder="1" applyAlignment="1">
      <alignment horizontal="center"/>
    </xf>
    <xf numFmtId="49" fontId="5" fillId="0" borderId="0" xfId="0" applyNumberFormat="1" applyFont="1" applyBorder="1" applyAlignment="1">
      <alignment wrapText="1"/>
    </xf>
    <xf numFmtId="49" fontId="9" fillId="0" borderId="0" xfId="0" applyNumberFormat="1" applyFont="1" applyBorder="1" applyAlignment="1">
      <alignment horizontal="center" vertical="center" wrapText="1"/>
    </xf>
    <xf numFmtId="0" fontId="2" fillId="0" borderId="26" xfId="0" applyFont="1" applyBorder="1"/>
    <xf numFmtId="0" fontId="25" fillId="0" borderId="0" xfId="0" applyFont="1"/>
    <xf numFmtId="0" fontId="3" fillId="0" borderId="0" xfId="0" applyFont="1" applyBorder="1"/>
    <xf numFmtId="0" fontId="26" fillId="0" borderId="0" xfId="0" applyFont="1" applyBorder="1"/>
    <xf numFmtId="164" fontId="3" fillId="0" borderId="0" xfId="4" applyFont="1" applyBorder="1" applyAlignment="1">
      <alignment horizontal="left"/>
    </xf>
    <xf numFmtId="4" fontId="3" fillId="0" borderId="0" xfId="0" applyNumberFormat="1" applyFont="1" applyBorder="1"/>
    <xf numFmtId="0" fontId="3" fillId="3" borderId="0" xfId="0" applyFont="1" applyFill="1" applyBorder="1"/>
    <xf numFmtId="0" fontId="26" fillId="3" borderId="0" xfId="0" applyFont="1" applyFill="1" applyBorder="1"/>
    <xf numFmtId="0" fontId="27" fillId="3" borderId="0" xfId="0" applyFont="1" applyFill="1" applyBorder="1"/>
    <xf numFmtId="4" fontId="27" fillId="3" borderId="0" xfId="0" applyNumberFormat="1" applyFont="1" applyFill="1" applyBorder="1" applyAlignment="1">
      <alignment horizontal="right"/>
    </xf>
    <xf numFmtId="0" fontId="28" fillId="3" borderId="0" xfId="0" applyFont="1" applyFill="1" applyBorder="1"/>
    <xf numFmtId="0" fontId="29" fillId="3" borderId="0" xfId="0" applyFont="1" applyFill="1" applyBorder="1"/>
    <xf numFmtId="164" fontId="27" fillId="0" borderId="0" xfId="0" applyNumberFormat="1" applyFont="1" applyBorder="1"/>
    <xf numFmtId="0" fontId="27" fillId="0" borderId="0" xfId="0" applyFont="1" applyBorder="1"/>
    <xf numFmtId="0" fontId="3" fillId="0" borderId="26" xfId="0" applyFont="1" applyBorder="1"/>
    <xf numFmtId="0" fontId="3" fillId="0" borderId="27" xfId="0" applyFont="1" applyBorder="1"/>
    <xf numFmtId="0" fontId="3" fillId="0" borderId="28" xfId="0" applyFont="1" applyBorder="1"/>
    <xf numFmtId="0" fontId="26" fillId="0" borderId="29" xfId="0" applyFont="1" applyFill="1" applyBorder="1"/>
    <xf numFmtId="0" fontId="3" fillId="0" borderId="30" xfId="0" applyFont="1" applyBorder="1"/>
    <xf numFmtId="0" fontId="3" fillId="0" borderId="29" xfId="0" applyFont="1" applyBorder="1"/>
    <xf numFmtId="0" fontId="3" fillId="3" borderId="29" xfId="0" applyFont="1" applyFill="1" applyBorder="1"/>
    <xf numFmtId="0" fontId="3" fillId="3" borderId="30" xfId="0" applyFont="1" applyFill="1" applyBorder="1"/>
    <xf numFmtId="0" fontId="27" fillId="3" borderId="29" xfId="0" applyFont="1" applyFill="1" applyBorder="1"/>
    <xf numFmtId="0" fontId="26" fillId="3" borderId="29" xfId="0" applyFont="1" applyFill="1" applyBorder="1"/>
    <xf numFmtId="0" fontId="26" fillId="0" borderId="35" xfId="0" applyFont="1" applyBorder="1"/>
    <xf numFmtId="0" fontId="3" fillId="0" borderId="36" xfId="0" applyFont="1" applyBorder="1"/>
    <xf numFmtId="0" fontId="3" fillId="0" borderId="37" xfId="0" applyFont="1" applyBorder="1"/>
    <xf numFmtId="0" fontId="0" fillId="3" borderId="0" xfId="0" applyFont="1" applyFill="1" applyBorder="1"/>
    <xf numFmtId="0" fontId="31" fillId="3" borderId="0" xfId="0" applyFont="1" applyFill="1" applyBorder="1"/>
    <xf numFmtId="0" fontId="0" fillId="3" borderId="29" xfId="0" applyFont="1" applyFill="1" applyBorder="1"/>
    <xf numFmtId="0" fontId="0" fillId="3" borderId="30" xfId="0" applyFont="1" applyFill="1" applyBorder="1"/>
    <xf numFmtId="0" fontId="0" fillId="4" borderId="0" xfId="0" applyFont="1" applyFill="1" applyBorder="1"/>
    <xf numFmtId="4" fontId="1" fillId="6" borderId="0" xfId="0" applyNumberFormat="1" applyFont="1" applyFill="1" applyBorder="1"/>
    <xf numFmtId="0" fontId="1" fillId="6" borderId="0" xfId="0" applyFont="1" applyFill="1" applyBorder="1"/>
    <xf numFmtId="0" fontId="0" fillId="6" borderId="0" xfId="0" applyFont="1" applyFill="1" applyBorder="1"/>
    <xf numFmtId="0" fontId="0" fillId="6" borderId="36" xfId="0" applyFont="1" applyFill="1" applyBorder="1" applyAlignment="1"/>
    <xf numFmtId="0" fontId="0" fillId="6" borderId="36" xfId="0" applyFont="1" applyFill="1" applyBorder="1"/>
    <xf numFmtId="0" fontId="1" fillId="6" borderId="29" xfId="0" applyFont="1" applyFill="1" applyBorder="1"/>
    <xf numFmtId="0" fontId="0" fillId="6" borderId="35" xfId="0" applyFont="1" applyFill="1" applyBorder="1"/>
    <xf numFmtId="0" fontId="31" fillId="6" borderId="36" xfId="0" applyFont="1" applyFill="1" applyBorder="1"/>
    <xf numFmtId="0" fontId="0" fillId="6" borderId="30" xfId="0" applyFont="1" applyFill="1" applyBorder="1"/>
    <xf numFmtId="0" fontId="0" fillId="6" borderId="37" xfId="0" applyFont="1" applyFill="1" applyBorder="1"/>
    <xf numFmtId="0" fontId="3" fillId="4" borderId="26" xfId="0" applyFont="1" applyFill="1" applyBorder="1" applyAlignment="1">
      <alignment horizontal="center"/>
    </xf>
    <xf numFmtId="0" fontId="3" fillId="4" borderId="27" xfId="0" applyFont="1" applyFill="1" applyBorder="1" applyAlignment="1">
      <alignment horizontal="center"/>
    </xf>
    <xf numFmtId="0" fontId="3" fillId="4" borderId="28" xfId="0" applyFont="1" applyFill="1" applyBorder="1" applyAlignment="1">
      <alignment horizontal="center"/>
    </xf>
    <xf numFmtId="0" fontId="0" fillId="4" borderId="29" xfId="0" applyFont="1" applyFill="1" applyBorder="1"/>
    <xf numFmtId="0" fontId="0" fillId="4" borderId="30" xfId="0" applyFont="1" applyFill="1" applyBorder="1"/>
    <xf numFmtId="0" fontId="0" fillId="3" borderId="0" xfId="0" applyFont="1" applyFill="1" applyBorder="1" applyAlignment="1">
      <alignment horizontal="left"/>
    </xf>
    <xf numFmtId="0" fontId="0" fillId="0" borderId="0" xfId="0" applyAlignment="1">
      <alignment horizontal="center"/>
    </xf>
    <xf numFmtId="4" fontId="9" fillId="0" borderId="39" xfId="0" applyNumberFormat="1" applyFont="1" applyBorder="1"/>
    <xf numFmtId="167" fontId="9" fillId="2" borderId="22" xfId="0" applyNumberFormat="1" applyFont="1" applyFill="1" applyBorder="1"/>
    <xf numFmtId="3" fontId="9" fillId="2" borderId="23" xfId="0" applyNumberFormat="1" applyFont="1" applyFill="1" applyBorder="1" applyAlignment="1">
      <alignment horizontal="right"/>
    </xf>
    <xf numFmtId="4" fontId="9" fillId="2" borderId="23" xfId="0" applyNumberFormat="1" applyFont="1" applyFill="1" applyBorder="1" applyAlignment="1">
      <alignment horizontal="center"/>
    </xf>
    <xf numFmtId="166" fontId="9" fillId="2" borderId="23" xfId="0" applyNumberFormat="1" applyFont="1" applyFill="1" applyBorder="1" applyAlignment="1">
      <alignment horizontal="center"/>
    </xf>
    <xf numFmtId="17" fontId="9" fillId="2" borderId="23" xfId="0" applyNumberFormat="1" applyFont="1" applyFill="1" applyBorder="1" applyAlignment="1">
      <alignment horizontal="left" wrapText="1"/>
    </xf>
    <xf numFmtId="3" fontId="9" fillId="2" borderId="23" xfId="0" applyNumberFormat="1" applyFont="1" applyFill="1" applyBorder="1"/>
    <xf numFmtId="4" fontId="0" fillId="2" borderId="0" xfId="0" applyNumberFormat="1" applyFont="1" applyFill="1" applyBorder="1"/>
    <xf numFmtId="0" fontId="30" fillId="0" borderId="0" xfId="0" applyFont="1" applyBorder="1" applyAlignment="1">
      <alignment horizontal="left"/>
    </xf>
    <xf numFmtId="0" fontId="30" fillId="0" borderId="0" xfId="0" applyFont="1" applyBorder="1" applyAlignment="1">
      <alignment horizontal="center"/>
    </xf>
    <xf numFmtId="0" fontId="0" fillId="0" borderId="0" xfId="0" applyBorder="1" applyAlignment="1">
      <alignment horizontal="left" vertical="top" wrapText="1"/>
    </xf>
    <xf numFmtId="0" fontId="0" fillId="0" borderId="30" xfId="0" applyBorder="1" applyAlignment="1">
      <alignment horizontal="left" vertical="top" wrapText="1"/>
    </xf>
    <xf numFmtId="0" fontId="0" fillId="0" borderId="0" xfId="0" quotePrefix="1" applyFill="1" applyBorder="1"/>
    <xf numFmtId="17" fontId="23" fillId="2" borderId="23" xfId="0" applyNumberFormat="1" applyFont="1" applyFill="1" applyBorder="1" applyAlignment="1">
      <alignment horizontal="left" wrapText="1"/>
    </xf>
    <xf numFmtId="0" fontId="19" fillId="2" borderId="23" xfId="0" applyFont="1" applyFill="1" applyBorder="1" applyAlignment="1">
      <alignment horizontal="left"/>
    </xf>
    <xf numFmtId="0" fontId="55" fillId="4" borderId="1" xfId="0" applyFont="1" applyFill="1" applyBorder="1"/>
    <xf numFmtId="0" fontId="23" fillId="4" borderId="2" xfId="0" applyFont="1" applyFill="1" applyBorder="1"/>
    <xf numFmtId="0" fontId="23" fillId="4" borderId="3" xfId="0" applyFont="1" applyFill="1" applyBorder="1"/>
    <xf numFmtId="0" fontId="23" fillId="4" borderId="6" xfId="0" applyFont="1" applyFill="1" applyBorder="1" applyAlignment="1">
      <alignment horizontal="center"/>
    </xf>
    <xf numFmtId="0" fontId="23" fillId="4" borderId="7" xfId="0" applyFont="1" applyFill="1" applyBorder="1" applyAlignment="1">
      <alignment horizontal="center"/>
    </xf>
    <xf numFmtId="0" fontId="23" fillId="4" borderId="8" xfId="0" applyFont="1" applyFill="1" applyBorder="1" applyAlignment="1">
      <alignment horizontal="center"/>
    </xf>
    <xf numFmtId="3" fontId="0" fillId="0" borderId="0" xfId="0" applyNumberFormat="1"/>
    <xf numFmtId="170" fontId="17" fillId="0" borderId="0" xfId="0" applyNumberFormat="1" applyFont="1" applyFill="1" applyBorder="1" applyAlignment="1">
      <alignment horizontal="center"/>
    </xf>
    <xf numFmtId="0" fontId="18" fillId="5" borderId="53" xfId="1" applyFont="1" applyFill="1" applyBorder="1" applyAlignment="1">
      <alignment horizontal="center"/>
    </xf>
    <xf numFmtId="169" fontId="18" fillId="5" borderId="54" xfId="1" applyNumberFormat="1" applyFont="1" applyFill="1" applyBorder="1" applyAlignment="1">
      <alignment horizontal="center"/>
    </xf>
    <xf numFmtId="169" fontId="18" fillId="5" borderId="55" xfId="1" applyNumberFormat="1" applyFont="1" applyFill="1" applyBorder="1" applyAlignment="1">
      <alignment horizontal="center"/>
    </xf>
    <xf numFmtId="1" fontId="44" fillId="0" borderId="1" xfId="1" applyNumberFormat="1" applyFont="1" applyBorder="1" applyAlignment="1">
      <alignment horizontal="right"/>
    </xf>
    <xf numFmtId="1" fontId="17" fillId="0" borderId="4" xfId="1" applyNumberFormat="1" applyFont="1" applyBorder="1" applyAlignment="1">
      <alignment horizontal="right"/>
    </xf>
    <xf numFmtId="0" fontId="17" fillId="0" borderId="4" xfId="1" applyFont="1" applyBorder="1" applyAlignment="1">
      <alignment horizontal="right"/>
    </xf>
    <xf numFmtId="1" fontId="44" fillId="0" borderId="4" xfId="1" applyNumberFormat="1" applyFont="1" applyBorder="1" applyAlignment="1">
      <alignment horizontal="right"/>
    </xf>
    <xf numFmtId="0" fontId="17" fillId="0" borderId="4" xfId="1" applyFont="1" applyBorder="1" applyAlignment="1">
      <alignment horizontal="right" wrapText="1"/>
    </xf>
    <xf numFmtId="0" fontId="17" fillId="0" borderId="4" xfId="1" applyFont="1" applyFill="1" applyBorder="1" applyAlignment="1">
      <alignment horizontal="right"/>
    </xf>
    <xf numFmtId="0" fontId="17" fillId="0" borderId="4" xfId="0" applyFont="1" applyFill="1" applyBorder="1" applyAlignment="1">
      <alignment horizontal="right"/>
    </xf>
    <xf numFmtId="0" fontId="17" fillId="0" borderId="4" xfId="0" applyFont="1" applyBorder="1" applyAlignment="1">
      <alignment horizontal="right"/>
    </xf>
    <xf numFmtId="170" fontId="17" fillId="0" borderId="5" xfId="0" applyNumberFormat="1" applyFont="1" applyFill="1" applyBorder="1" applyAlignment="1">
      <alignment horizontal="center"/>
    </xf>
    <xf numFmtId="0" fontId="17" fillId="0" borderId="6" xfId="0" applyFont="1" applyBorder="1" applyAlignment="1">
      <alignment horizontal="right"/>
    </xf>
    <xf numFmtId="170" fontId="17" fillId="0" borderId="4" xfId="0" applyNumberFormat="1" applyFont="1" applyFill="1" applyBorder="1" applyAlignment="1">
      <alignment horizontal="center"/>
    </xf>
    <xf numFmtId="0" fontId="17" fillId="0" borderId="1" xfId="1" applyFont="1" applyBorder="1" applyAlignment="1">
      <alignment horizontal="center"/>
    </xf>
    <xf numFmtId="0" fontId="17" fillId="0" borderId="2" xfId="1" applyFont="1" applyBorder="1" applyAlignment="1">
      <alignment horizontal="center"/>
    </xf>
    <xf numFmtId="168" fontId="17" fillId="0" borderId="3" xfId="1" applyNumberFormat="1" applyFont="1" applyBorder="1" applyAlignment="1">
      <alignment horizontal="right"/>
    </xf>
    <xf numFmtId="168" fontId="17" fillId="0" borderId="5" xfId="1" applyNumberFormat="1" applyFont="1" applyBorder="1" applyAlignment="1">
      <alignment horizontal="right"/>
    </xf>
    <xf numFmtId="168" fontId="17" fillId="0" borderId="5" xfId="1" applyNumberFormat="1" applyFont="1" applyBorder="1" applyAlignment="1">
      <alignment horizontal="right" vertical="center"/>
    </xf>
    <xf numFmtId="0" fontId="5" fillId="6" borderId="6" xfId="1" applyFont="1" applyFill="1" applyBorder="1" applyAlignment="1">
      <alignment horizontal="center"/>
    </xf>
    <xf numFmtId="0" fontId="5" fillId="6" borderId="7" xfId="1" applyFont="1" applyFill="1" applyBorder="1" applyAlignment="1">
      <alignment horizontal="center"/>
    </xf>
    <xf numFmtId="0" fontId="5" fillId="6" borderId="7" xfId="1" applyFont="1" applyFill="1" applyBorder="1" applyAlignment="1">
      <alignment horizontal="right"/>
    </xf>
    <xf numFmtId="0" fontId="35" fillId="0" borderId="0" xfId="0" applyFont="1" applyBorder="1"/>
    <xf numFmtId="0" fontId="9" fillId="0" borderId="0" xfId="0" applyFont="1" applyBorder="1"/>
    <xf numFmtId="0" fontId="9" fillId="0" borderId="5" xfId="0" applyFont="1" applyBorder="1"/>
    <xf numFmtId="0" fontId="9" fillId="0" borderId="0" xfId="0" applyFont="1"/>
    <xf numFmtId="0" fontId="9" fillId="0" borderId="7" xfId="0" applyFont="1" applyBorder="1"/>
    <xf numFmtId="0" fontId="9" fillId="0" borderId="8" xfId="0" applyFont="1" applyBorder="1"/>
    <xf numFmtId="0" fontId="0" fillId="0" borderId="0" xfId="0" quotePrefix="1" applyFill="1" applyBorder="1" applyAlignment="1">
      <alignment horizontal="left" vertical="top" wrapText="1"/>
    </xf>
    <xf numFmtId="4" fontId="0" fillId="0" borderId="2" xfId="0" applyNumberFormat="1" applyBorder="1"/>
    <xf numFmtId="4" fontId="1" fillId="0" borderId="2" xfId="0" applyNumberFormat="1" applyFont="1" applyFill="1" applyBorder="1"/>
    <xf numFmtId="3" fontId="1" fillId="0" borderId="2" xfId="0" applyNumberFormat="1" applyFont="1" applyFill="1" applyBorder="1"/>
    <xf numFmtId="4" fontId="1" fillId="0" borderId="2" xfId="0" applyNumberFormat="1" applyFont="1" applyBorder="1"/>
    <xf numFmtId="4" fontId="9" fillId="0" borderId="2" xfId="0" applyNumberFormat="1" applyFont="1" applyFill="1" applyBorder="1"/>
    <xf numFmtId="0" fontId="0" fillId="0" borderId="3" xfId="0" applyBorder="1"/>
    <xf numFmtId="0" fontId="1" fillId="0" borderId="1" xfId="0" applyFont="1" applyBorder="1"/>
    <xf numFmtId="0" fontId="0" fillId="2" borderId="0" xfId="0" quotePrefix="1" applyFill="1" applyBorder="1" applyAlignment="1">
      <alignment horizontal="right" vertical="top" wrapText="1"/>
    </xf>
    <xf numFmtId="0" fontId="56" fillId="0" borderId="0" xfId="0" quotePrefix="1" applyFont="1" applyFill="1" applyBorder="1" applyAlignment="1">
      <alignment horizontal="left" vertical="top" wrapText="1"/>
    </xf>
    <xf numFmtId="168" fontId="5" fillId="6" borderId="8" xfId="1" applyNumberFormat="1" applyFont="1" applyFill="1" applyBorder="1" applyAlignment="1">
      <alignment horizontal="right"/>
    </xf>
    <xf numFmtId="0" fontId="1" fillId="0" borderId="29" xfId="0" applyFont="1" applyFill="1" applyBorder="1"/>
    <xf numFmtId="0" fontId="0" fillId="0" borderId="30" xfId="0" applyFill="1" applyBorder="1"/>
    <xf numFmtId="0" fontId="50" fillId="6" borderId="1" xfId="0" applyFont="1" applyFill="1" applyBorder="1"/>
    <xf numFmtId="0" fontId="0" fillId="6" borderId="2" xfId="0" applyFill="1" applyBorder="1" applyAlignment="1">
      <alignment horizontal="center"/>
    </xf>
    <xf numFmtId="0" fontId="0" fillId="6" borderId="3" xfId="0" applyFill="1" applyBorder="1"/>
    <xf numFmtId="0" fontId="0" fillId="0" borderId="4" xfId="0" applyBorder="1" applyAlignment="1">
      <alignment horizontal="right"/>
    </xf>
    <xf numFmtId="14" fontId="0" fillId="0" borderId="4" xfId="0" applyNumberFormat="1" applyBorder="1" applyAlignment="1">
      <alignment horizontal="right" vertical="center"/>
    </xf>
    <xf numFmtId="0" fontId="0" fillId="0" borderId="5" xfId="0" applyBorder="1" applyAlignment="1">
      <alignment vertical="top" wrapText="1"/>
    </xf>
    <xf numFmtId="14" fontId="0" fillId="0" borderId="6" xfId="0" applyNumberFormat="1" applyBorder="1" applyAlignment="1">
      <alignment horizontal="right" vertical="center"/>
    </xf>
    <xf numFmtId="172" fontId="0" fillId="0" borderId="7" xfId="0" applyNumberFormat="1" applyBorder="1" applyAlignment="1">
      <alignment horizontal="center" vertical="center"/>
    </xf>
    <xf numFmtId="0" fontId="0" fillId="0" borderId="8" xfId="0" applyBorder="1" applyAlignment="1">
      <alignment vertical="top" wrapText="1"/>
    </xf>
    <xf numFmtId="0" fontId="0" fillId="0" borderId="29" xfId="0" applyBorder="1" applyAlignment="1">
      <alignment horizontal="left" vertical="top" wrapText="1"/>
    </xf>
    <xf numFmtId="0" fontId="0" fillId="0" borderId="0" xfId="0" applyBorder="1" applyAlignment="1">
      <alignment horizontal="left" vertical="top" wrapText="1"/>
    </xf>
    <xf numFmtId="0" fontId="0" fillId="0" borderId="30" xfId="0" applyBorder="1" applyAlignment="1">
      <alignment horizontal="left" vertical="top" wrapText="1"/>
    </xf>
    <xf numFmtId="0" fontId="51" fillId="0" borderId="29" xfId="0" applyFont="1" applyBorder="1" applyAlignment="1">
      <alignment horizontal="left" vertical="top" wrapText="1"/>
    </xf>
    <xf numFmtId="0" fontId="51" fillId="0" borderId="0" xfId="0" applyFont="1" applyBorder="1" applyAlignment="1">
      <alignment horizontal="left" vertical="top" wrapText="1"/>
    </xf>
    <xf numFmtId="0" fontId="51" fillId="0" borderId="30" xfId="0" applyFont="1" applyBorder="1" applyAlignment="1">
      <alignment horizontal="left" vertical="top" wrapText="1"/>
    </xf>
    <xf numFmtId="0" fontId="52" fillId="0" borderId="29" xfId="0" applyFont="1" applyBorder="1" applyAlignment="1">
      <alignment horizontal="left" vertical="top" wrapText="1"/>
    </xf>
    <xf numFmtId="0" fontId="52" fillId="0" borderId="0" xfId="0" applyFont="1" applyBorder="1" applyAlignment="1">
      <alignment horizontal="left" vertical="top" wrapText="1"/>
    </xf>
    <xf numFmtId="0" fontId="52" fillId="0" borderId="30" xfId="0" applyFont="1" applyBorder="1" applyAlignment="1">
      <alignment horizontal="left" vertical="top" wrapText="1"/>
    </xf>
    <xf numFmtId="0" fontId="23" fillId="0" borderId="29" xfId="0" applyFont="1" applyBorder="1" applyAlignment="1">
      <alignment horizontal="left" vertical="top" wrapText="1"/>
    </xf>
    <xf numFmtId="0" fontId="23" fillId="0" borderId="0" xfId="0" applyFont="1" applyBorder="1" applyAlignment="1">
      <alignment horizontal="left" vertical="top" wrapText="1"/>
    </xf>
    <xf numFmtId="0" fontId="23" fillId="0" borderId="30" xfId="0" applyFont="1" applyBorder="1" applyAlignment="1">
      <alignment horizontal="left" vertical="top" wrapText="1"/>
    </xf>
    <xf numFmtId="0" fontId="0" fillId="0" borderId="0" xfId="0" quotePrefix="1" applyFill="1" applyBorder="1" applyAlignment="1">
      <alignment horizontal="left" vertical="top" wrapText="1"/>
    </xf>
    <xf numFmtId="0" fontId="0" fillId="0" borderId="0" xfId="0" quotePrefix="1" applyFill="1" applyBorder="1" applyAlignment="1">
      <alignment horizontal="left" vertical="center" wrapText="1"/>
    </xf>
    <xf numFmtId="0" fontId="6" fillId="0" borderId="0" xfId="0" applyFont="1" applyAlignment="1">
      <alignment wrapText="1"/>
    </xf>
    <xf numFmtId="0" fontId="0" fillId="0" borderId="0" xfId="0" applyAlignment="1">
      <alignment wrapText="1"/>
    </xf>
    <xf numFmtId="170" fontId="44" fillId="0" borderId="1" xfId="1" applyNumberFormat="1" applyFont="1" applyBorder="1" applyAlignment="1">
      <alignment horizontal="center"/>
    </xf>
    <xf numFmtId="170" fontId="44" fillId="0" borderId="2" xfId="1" applyNumberFormat="1" applyFont="1" applyBorder="1" applyAlignment="1">
      <alignment horizontal="center"/>
    </xf>
    <xf numFmtId="170" fontId="44" fillId="0" borderId="3" xfId="1" applyNumberFormat="1" applyFont="1" applyBorder="1" applyAlignment="1">
      <alignment horizontal="center"/>
    </xf>
    <xf numFmtId="170" fontId="44" fillId="0" borderId="1" xfId="0" applyNumberFormat="1" applyFont="1" applyFill="1" applyBorder="1" applyAlignment="1">
      <alignment horizontal="center"/>
    </xf>
    <xf numFmtId="170" fontId="44" fillId="0" borderId="2" xfId="0" applyNumberFormat="1" applyFont="1" applyFill="1" applyBorder="1" applyAlignment="1">
      <alignment horizontal="center"/>
    </xf>
    <xf numFmtId="170" fontId="44" fillId="0" borderId="3" xfId="0" applyNumberFormat="1" applyFont="1" applyFill="1" applyBorder="1" applyAlignment="1">
      <alignment horizontal="center"/>
    </xf>
    <xf numFmtId="0" fontId="18" fillId="5" borderId="49" xfId="1" applyFont="1" applyFill="1" applyBorder="1" applyAlignment="1">
      <alignment horizontal="center" vertical="center" wrapText="1"/>
    </xf>
    <xf numFmtId="0" fontId="18" fillId="5" borderId="42" xfId="1" applyFont="1" applyFill="1" applyBorder="1" applyAlignment="1">
      <alignment horizontal="center" vertical="center" wrapText="1"/>
    </xf>
    <xf numFmtId="0" fontId="42" fillId="0" borderId="0" xfId="1" applyFont="1" applyBorder="1" applyAlignment="1">
      <alignment horizontal="center"/>
    </xf>
    <xf numFmtId="0" fontId="18" fillId="5" borderId="40" xfId="1" applyFont="1" applyFill="1" applyBorder="1" applyAlignment="1">
      <alignment horizontal="center" vertical="center" wrapText="1"/>
    </xf>
    <xf numFmtId="0" fontId="18" fillId="5" borderId="43" xfId="1" applyFont="1" applyFill="1" applyBorder="1" applyAlignment="1">
      <alignment horizontal="center" vertical="center" wrapText="1"/>
    </xf>
    <xf numFmtId="0" fontId="18" fillId="5" borderId="47" xfId="1" applyFont="1" applyFill="1" applyBorder="1" applyAlignment="1">
      <alignment horizontal="center" vertical="center" wrapText="1"/>
    </xf>
    <xf numFmtId="0" fontId="18" fillId="5" borderId="41" xfId="1" applyFont="1" applyFill="1" applyBorder="1" applyAlignment="1">
      <alignment horizontal="center" vertical="center" wrapText="1"/>
    </xf>
    <xf numFmtId="0" fontId="18" fillId="5" borderId="38" xfId="1" applyFont="1" applyFill="1" applyBorder="1" applyAlignment="1">
      <alignment horizontal="center" vertical="center" wrapText="1"/>
    </xf>
    <xf numFmtId="0" fontId="18" fillId="5" borderId="44" xfId="1" applyFont="1" applyFill="1" applyBorder="1" applyAlignment="1">
      <alignment horizontal="center" vertical="center" wrapText="1"/>
    </xf>
    <xf numFmtId="10" fontId="18" fillId="5" borderId="44" xfId="1" applyNumberFormat="1" applyFont="1" applyFill="1" applyBorder="1" applyAlignment="1">
      <alignment horizontal="center" vertical="center" wrapText="1"/>
    </xf>
    <xf numFmtId="10" fontId="18" fillId="5" borderId="43" xfId="1" applyNumberFormat="1" applyFont="1" applyFill="1" applyBorder="1" applyAlignment="1">
      <alignment horizontal="center" vertical="center" wrapText="1"/>
    </xf>
    <xf numFmtId="10" fontId="18" fillId="5" borderId="47" xfId="1" applyNumberFormat="1" applyFont="1" applyFill="1" applyBorder="1" applyAlignment="1">
      <alignment horizontal="center" vertical="center" wrapText="1"/>
    </xf>
    <xf numFmtId="10" fontId="18" fillId="5" borderId="45" xfId="1" applyNumberFormat="1" applyFont="1" applyFill="1" applyBorder="1" applyAlignment="1">
      <alignment horizontal="center" vertical="center" wrapText="1"/>
    </xf>
    <xf numFmtId="10" fontId="18" fillId="5" borderId="46" xfId="1" applyNumberFormat="1" applyFont="1" applyFill="1" applyBorder="1" applyAlignment="1">
      <alignment horizontal="center" vertical="center" wrapText="1"/>
    </xf>
    <xf numFmtId="10" fontId="18" fillId="5" borderId="48" xfId="1" applyNumberFormat="1" applyFont="1" applyFill="1" applyBorder="1" applyAlignment="1">
      <alignment horizontal="center" vertical="center" wrapText="1"/>
    </xf>
  </cellXfs>
  <cellStyles count="13">
    <cellStyle name="Comma" xfId="4" builtinId="3"/>
    <cellStyle name="Hyperlink" xfId="3" builtinId="8"/>
    <cellStyle name="Normal" xfId="0" builtinId="0"/>
    <cellStyle name="Normal 2" xfId="1"/>
    <cellStyle name="Normal 3" xfId="2"/>
    <cellStyle name="Normal 3 2" xfId="11"/>
    <cellStyle name="Normal 3 3" xfId="12"/>
    <cellStyle name="PSChar" xfId="5"/>
    <cellStyle name="PSDate" xfId="6"/>
    <cellStyle name="PSDec" xfId="7"/>
    <cellStyle name="PSHeading" xfId="8"/>
    <cellStyle name="PSInt" xfId="9"/>
    <cellStyle name="PSSpacer"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ondp1/AppData/Local/Microsoft/Windows/Temporary%20Internet%20Files/Content.Outlook/H2MV51NB/Users/londp1/AppData/Local/Microsoft/Windows/Temporary%20Internet%20Files/Content.Outlook/H2MV51NB/HO%20%20PA_Share_Histo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shares"/>
      <sheetName val="FX rates"/>
      <sheetName val="HO  PA_Share_History"/>
    </sheet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camapp01/SSS/IPEXShareHolding.asp" TargetMode="External"/><Relationship Id="rId2" Type="http://schemas.openxmlformats.org/officeDocument/2006/relationships/hyperlink" Target="https://workpyramid.paconsulting.com/practice/CompanySecretary/Company%20Secretariat/Shares%20and%20Share%20Plans/Tax%20information%20following%20Demerger.zip" TargetMode="External"/><Relationship Id="rId1" Type="http://schemas.openxmlformats.org/officeDocument/2006/relationships/hyperlink" Target="https://workpyramid.paconsulting.com/practice/CompanySecretary/Company%20Secretariat/Shares%20and%20Share%20Plans/Denmark%20-%20Tax%20information.pdf" TargetMode="External"/><Relationship Id="rId6" Type="http://schemas.openxmlformats.org/officeDocument/2006/relationships/printerSettings" Target="../printerSettings/printerSettings1.bin"/><Relationship Id="rId5" Type="http://schemas.openxmlformats.org/officeDocument/2006/relationships/hyperlink" Target="http://www.pashares.com/pa-share-reports/reports/2015-carlyle-investment/" TargetMode="External"/><Relationship Id="rId4" Type="http://schemas.openxmlformats.org/officeDocument/2006/relationships/hyperlink" Target="http://cam-bla-112/SecureReports/Personal_Shareholding_Pag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orkpyramid.paconsulting.com/practice/CompanySecretary/Company%20Secretariat/Shares%20and%20Share%20Plans/Your_PA_Share_History.xls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4"/>
  <sheetViews>
    <sheetView tabSelected="1" workbookViewId="0"/>
  </sheetViews>
  <sheetFormatPr defaultRowHeight="14.4" x14ac:dyDescent="0.3"/>
  <cols>
    <col min="1" max="1" width="23.44140625" customWidth="1"/>
    <col min="2" max="2" width="9.109375" style="179"/>
    <col min="3" max="3" width="91.6640625" customWidth="1"/>
    <col min="4" max="4" width="14.109375" customWidth="1"/>
  </cols>
  <sheetData>
    <row r="1" spans="1:3" ht="19.5" thickBot="1" x14ac:dyDescent="0.3">
      <c r="A1" s="278" t="s">
        <v>269</v>
      </c>
    </row>
    <row r="2" spans="1:3" ht="31.5" x14ac:dyDescent="0.5">
      <c r="A2" s="420" t="s">
        <v>239</v>
      </c>
      <c r="B2" s="421"/>
      <c r="C2" s="422"/>
    </row>
    <row r="3" spans="1:3" ht="15" x14ac:dyDescent="0.25">
      <c r="A3" s="423" t="s">
        <v>241</v>
      </c>
      <c r="B3" s="34" t="s">
        <v>240</v>
      </c>
      <c r="C3" s="10" t="s">
        <v>242</v>
      </c>
    </row>
    <row r="4" spans="1:3" ht="30" x14ac:dyDescent="0.25">
      <c r="A4" s="424">
        <v>41722</v>
      </c>
      <c r="B4" s="264">
        <v>1</v>
      </c>
      <c r="C4" s="425" t="s">
        <v>243</v>
      </c>
    </row>
    <row r="5" spans="1:3" ht="72" x14ac:dyDescent="0.3">
      <c r="A5" s="424">
        <v>41730</v>
      </c>
      <c r="B5" s="264">
        <v>1.1000000000000001</v>
      </c>
      <c r="C5" s="425" t="s">
        <v>268</v>
      </c>
    </row>
    <row r="6" spans="1:3" ht="15" x14ac:dyDescent="0.25">
      <c r="A6" s="424">
        <v>42241</v>
      </c>
      <c r="B6" s="264">
        <v>1.2</v>
      </c>
      <c r="C6" s="425" t="s">
        <v>297</v>
      </c>
    </row>
    <row r="7" spans="1:3" ht="15" x14ac:dyDescent="0.25">
      <c r="A7" s="424">
        <v>42356</v>
      </c>
      <c r="B7" s="264">
        <v>1.3</v>
      </c>
      <c r="C7" s="425" t="s">
        <v>298</v>
      </c>
    </row>
    <row r="8" spans="1:3" s="293" customFormat="1" ht="15.75" thickBot="1" x14ac:dyDescent="0.3">
      <c r="A8" s="426">
        <v>42360</v>
      </c>
      <c r="B8" s="427">
        <v>1.4</v>
      </c>
      <c r="C8" s="428" t="s">
        <v>335</v>
      </c>
    </row>
    <row r="9" spans="1:3" ht="15" x14ac:dyDescent="0.25">
      <c r="A9" s="257"/>
      <c r="B9" s="256"/>
    </row>
    <row r="10" spans="1:3" ht="15.75" thickBot="1" x14ac:dyDescent="0.3">
      <c r="A10" s="257"/>
      <c r="B10" s="256"/>
    </row>
    <row r="11" spans="1:3" ht="32.25" thickTop="1" x14ac:dyDescent="0.5">
      <c r="A11" s="265" t="s">
        <v>244</v>
      </c>
      <c r="B11" s="266"/>
      <c r="C11" s="267"/>
    </row>
    <row r="12" spans="1:3" ht="15" x14ac:dyDescent="0.25">
      <c r="A12" s="263"/>
      <c r="B12" s="268"/>
      <c r="C12" s="87"/>
    </row>
    <row r="13" spans="1:3" ht="18.75" x14ac:dyDescent="0.3">
      <c r="A13" s="269" t="s">
        <v>265</v>
      </c>
      <c r="B13" s="34"/>
      <c r="C13" s="87"/>
    </row>
    <row r="14" spans="1:3" ht="15" x14ac:dyDescent="0.25">
      <c r="A14" s="270" t="s">
        <v>253</v>
      </c>
      <c r="B14" s="34"/>
      <c r="C14" s="87"/>
    </row>
    <row r="15" spans="1:3" ht="36" customHeight="1" x14ac:dyDescent="0.3">
      <c r="A15" s="429" t="s">
        <v>270</v>
      </c>
      <c r="B15" s="430"/>
      <c r="C15" s="431"/>
    </row>
    <row r="16" spans="1:3" ht="15" x14ac:dyDescent="0.25">
      <c r="A16" s="271" t="s">
        <v>254</v>
      </c>
      <c r="B16" s="272"/>
      <c r="C16" s="273"/>
    </row>
    <row r="17" spans="1:3" ht="31.5" customHeight="1" x14ac:dyDescent="0.3">
      <c r="A17" s="429" t="s">
        <v>255</v>
      </c>
      <c r="B17" s="430"/>
      <c r="C17" s="431"/>
    </row>
    <row r="18" spans="1:3" s="293" customFormat="1" x14ac:dyDescent="0.3">
      <c r="A18" s="271" t="s">
        <v>299</v>
      </c>
      <c r="B18" s="366"/>
      <c r="C18" s="367"/>
    </row>
    <row r="19" spans="1:3" s="293" customFormat="1" x14ac:dyDescent="0.3">
      <c r="A19" s="429" t="s">
        <v>316</v>
      </c>
      <c r="B19" s="430"/>
      <c r="C19" s="431"/>
    </row>
    <row r="20" spans="1:3" ht="33" customHeight="1" x14ac:dyDescent="0.3">
      <c r="A20" s="270" t="s">
        <v>264</v>
      </c>
      <c r="B20" s="34"/>
      <c r="C20" s="87"/>
    </row>
    <row r="21" spans="1:3" ht="47.25" customHeight="1" x14ac:dyDescent="0.3">
      <c r="A21" s="438" t="s">
        <v>317</v>
      </c>
      <c r="B21" s="439"/>
      <c r="C21" s="440"/>
    </row>
    <row r="22" spans="1:3" x14ac:dyDescent="0.3">
      <c r="A22" s="263"/>
      <c r="B22" s="34"/>
      <c r="C22" s="87"/>
    </row>
    <row r="23" spans="1:3" ht="18" x14ac:dyDescent="0.35">
      <c r="A23" s="269" t="s">
        <v>266</v>
      </c>
      <c r="B23" s="34"/>
      <c r="C23" s="87"/>
    </row>
    <row r="24" spans="1:3" x14ac:dyDescent="0.3">
      <c r="A24" s="270" t="s">
        <v>267</v>
      </c>
      <c r="B24" s="34"/>
      <c r="C24" s="87"/>
    </row>
    <row r="25" spans="1:3" x14ac:dyDescent="0.3">
      <c r="A25" s="429" t="s">
        <v>271</v>
      </c>
      <c r="B25" s="430"/>
      <c r="C25" s="431"/>
    </row>
    <row r="26" spans="1:3" ht="23.25" customHeight="1" x14ac:dyDescent="0.3">
      <c r="A26" s="274"/>
      <c r="B26" s="272"/>
      <c r="C26" s="273"/>
    </row>
    <row r="27" spans="1:3" ht="18" x14ac:dyDescent="0.35">
      <c r="A27" s="269" t="s">
        <v>245</v>
      </c>
      <c r="B27" s="34"/>
      <c r="C27" s="87"/>
    </row>
    <row r="28" spans="1:3" x14ac:dyDescent="0.3">
      <c r="A28" s="270" t="s">
        <v>246</v>
      </c>
      <c r="B28" s="34"/>
      <c r="C28" s="87"/>
    </row>
    <row r="29" spans="1:3" ht="68.25" customHeight="1" x14ac:dyDescent="0.3">
      <c r="A29" s="429" t="s">
        <v>318</v>
      </c>
      <c r="B29" s="430"/>
      <c r="C29" s="431"/>
    </row>
    <row r="30" spans="1:3" x14ac:dyDescent="0.3">
      <c r="A30" s="242" t="s">
        <v>247</v>
      </c>
      <c r="B30" s="34"/>
      <c r="C30" s="87"/>
    </row>
    <row r="31" spans="1:3" ht="56.25" customHeight="1" x14ac:dyDescent="0.3">
      <c r="A31" s="429" t="s">
        <v>248</v>
      </c>
      <c r="B31" s="430"/>
      <c r="C31" s="431"/>
    </row>
    <row r="32" spans="1:3" x14ac:dyDescent="0.3">
      <c r="A32" s="86"/>
      <c r="B32" s="34"/>
      <c r="C32" s="87"/>
    </row>
    <row r="33" spans="1:3" ht="18" x14ac:dyDescent="0.35">
      <c r="A33" s="269" t="s">
        <v>257</v>
      </c>
      <c r="B33" s="34"/>
      <c r="C33" s="87"/>
    </row>
    <row r="34" spans="1:3" x14ac:dyDescent="0.3">
      <c r="A34" s="270" t="s">
        <v>259</v>
      </c>
      <c r="B34" s="34"/>
      <c r="C34" s="87"/>
    </row>
    <row r="35" spans="1:3" ht="114" customHeight="1" x14ac:dyDescent="0.3">
      <c r="A35" s="432" t="s">
        <v>319</v>
      </c>
      <c r="B35" s="433"/>
      <c r="C35" s="434"/>
    </row>
    <row r="36" spans="1:3" ht="24.75" customHeight="1" x14ac:dyDescent="0.3">
      <c r="A36" s="275" t="s">
        <v>256</v>
      </c>
      <c r="B36" s="34"/>
      <c r="C36" s="87"/>
    </row>
    <row r="37" spans="1:3" ht="29.25" customHeight="1" x14ac:dyDescent="0.3">
      <c r="A37" s="242" t="s">
        <v>258</v>
      </c>
      <c r="B37" s="34"/>
      <c r="C37" s="87"/>
    </row>
    <row r="38" spans="1:3" ht="45.75" customHeight="1" x14ac:dyDescent="0.3">
      <c r="A38" s="435" t="s">
        <v>263</v>
      </c>
      <c r="B38" s="436"/>
      <c r="C38" s="437"/>
    </row>
    <row r="39" spans="1:3" x14ac:dyDescent="0.3">
      <c r="A39" s="276" t="s">
        <v>260</v>
      </c>
      <c r="B39" s="34"/>
      <c r="C39" s="87"/>
    </row>
    <row r="40" spans="1:3" ht="41.25" customHeight="1" x14ac:dyDescent="0.3">
      <c r="A40" s="429" t="s">
        <v>262</v>
      </c>
      <c r="B40" s="430"/>
      <c r="C40" s="431"/>
    </row>
    <row r="41" spans="1:3" x14ac:dyDescent="0.3">
      <c r="A41" s="276" t="s">
        <v>261</v>
      </c>
      <c r="B41" s="34"/>
      <c r="C41" s="87"/>
    </row>
    <row r="42" spans="1:3" ht="15" thickBot="1" x14ac:dyDescent="0.35">
      <c r="A42" s="147"/>
      <c r="B42" s="277"/>
      <c r="C42" s="102"/>
    </row>
    <row r="43" spans="1:3" ht="15" thickTop="1" x14ac:dyDescent="0.3"/>
    <row r="44" spans="1:3" x14ac:dyDescent="0.3">
      <c r="A44" s="262"/>
    </row>
  </sheetData>
  <mergeCells count="10">
    <mergeCell ref="A15:C15"/>
    <mergeCell ref="A17:C17"/>
    <mergeCell ref="A35:C35"/>
    <mergeCell ref="A38:C38"/>
    <mergeCell ref="A40:C40"/>
    <mergeCell ref="A21:C21"/>
    <mergeCell ref="A25:C25"/>
    <mergeCell ref="A29:C29"/>
    <mergeCell ref="A31:C31"/>
    <mergeCell ref="A19:C19"/>
  </mergeCells>
  <hyperlinks>
    <hyperlink ref="A16" r:id="rId1" display="../Shares and Share Plans/Denmark - Tax information.pdf"/>
    <hyperlink ref="A36" r:id="rId2" display="../Shares and Share Plans/Tax information following Demerger.zip"/>
    <hyperlink ref="A39" r:id="rId3" display="http://camapp01/SSS/IPEXShareHolding.asp"/>
    <hyperlink ref="A41" r:id="rId4" display="http://cam-bla-112/SecureReports/Personal_Shareholding_Page"/>
    <hyperlink ref="A18" r:id="rId5"/>
  </hyperlinks>
  <pageMargins left="0.70866141732283472" right="0.70866141732283472" top="0.74803149606299213" bottom="0.74803149606299213" header="0.31496062992125984" footer="0.31496062992125984"/>
  <pageSetup paperSize="9" scale="64" orientation="portrait" verticalDpi="0" r:id="rId6"/>
  <headerFooter>
    <oddFooter>&amp;LPA has made every effort to provide detailed share records and this calculator to you.   It remains however your personal responsibility to report your share income on your tax returns.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
  <sheetViews>
    <sheetView workbookViewId="0"/>
  </sheetViews>
  <sheetFormatPr defaultRowHeight="14.4" x14ac:dyDescent="0.3"/>
  <cols>
    <col min="1" max="1" width="19" customWidth="1"/>
    <col min="2" max="2" width="22.44140625" customWidth="1"/>
    <col min="8" max="8" width="6.33203125" customWidth="1"/>
    <col min="9" max="9" width="30.5546875" customWidth="1"/>
    <col min="10" max="10" width="5.44140625" customWidth="1"/>
    <col min="11" max="11" width="11.6640625" customWidth="1"/>
    <col min="12" max="12" width="8.44140625" customWidth="1"/>
    <col min="13" max="13" width="7.5546875" customWidth="1"/>
    <col min="16" max="16" width="9.109375" hidden="1" customWidth="1"/>
  </cols>
  <sheetData>
    <row r="1" spans="1:15" ht="21.75" thickTop="1" x14ac:dyDescent="0.35">
      <c r="A1" s="255" t="s">
        <v>295</v>
      </c>
      <c r="B1" s="84"/>
      <c r="C1" s="84"/>
      <c r="D1" s="84"/>
      <c r="E1" s="84"/>
      <c r="F1" s="84"/>
      <c r="G1" s="84"/>
      <c r="H1" s="84"/>
      <c r="I1" s="84"/>
      <c r="J1" s="84"/>
      <c r="K1" s="84"/>
      <c r="L1" s="84"/>
      <c r="M1" s="84"/>
      <c r="N1" s="85"/>
    </row>
    <row r="2" spans="1:15" ht="15" x14ac:dyDescent="0.25">
      <c r="A2" s="86"/>
      <c r="B2" s="12"/>
      <c r="C2" s="12"/>
      <c r="D2" s="12"/>
      <c r="E2" s="12"/>
      <c r="F2" s="12"/>
      <c r="G2" s="12"/>
      <c r="H2" s="12"/>
      <c r="I2" s="12"/>
      <c r="J2" s="12"/>
      <c r="K2" s="12"/>
      <c r="L2" s="12"/>
      <c r="M2" s="12"/>
      <c r="N2" s="87"/>
    </row>
    <row r="3" spans="1:15" ht="15" x14ac:dyDescent="0.25">
      <c r="A3" s="242" t="s">
        <v>47</v>
      </c>
      <c r="B3" s="12" t="s">
        <v>228</v>
      </c>
      <c r="C3" s="12"/>
      <c r="D3" s="12"/>
      <c r="E3" s="12"/>
      <c r="F3" s="12"/>
      <c r="G3" s="243" t="s">
        <v>229</v>
      </c>
      <c r="H3" s="12"/>
      <c r="I3" s="12"/>
      <c r="J3" s="12"/>
      <c r="K3" s="12"/>
      <c r="L3" s="12"/>
      <c r="M3" s="12"/>
      <c r="N3" s="87"/>
    </row>
    <row r="4" spans="1:15" ht="15" x14ac:dyDescent="0.25">
      <c r="A4" s="242" t="s">
        <v>48</v>
      </c>
      <c r="B4" s="12" t="s">
        <v>330</v>
      </c>
      <c r="C4" s="12"/>
      <c r="D4" s="12"/>
      <c r="E4" s="12"/>
      <c r="F4" s="12"/>
      <c r="G4" s="243"/>
      <c r="H4" s="12"/>
      <c r="I4" s="12"/>
      <c r="J4" s="12"/>
      <c r="K4" s="12"/>
      <c r="L4" s="12"/>
      <c r="M4" s="12"/>
      <c r="N4" s="87"/>
    </row>
    <row r="5" spans="1:15" ht="15" x14ac:dyDescent="0.25">
      <c r="A5" s="242" t="s">
        <v>49</v>
      </c>
      <c r="B5" s="12" t="s">
        <v>333</v>
      </c>
      <c r="C5" s="12"/>
      <c r="D5" s="12"/>
      <c r="E5" s="12"/>
      <c r="F5" s="12"/>
      <c r="G5" s="12"/>
      <c r="H5" s="12"/>
      <c r="I5" s="12"/>
      <c r="J5" s="12"/>
      <c r="K5" s="12"/>
      <c r="L5" s="12"/>
      <c r="M5" s="12"/>
      <c r="N5" s="87"/>
    </row>
    <row r="6" spans="1:15" ht="15" x14ac:dyDescent="0.25">
      <c r="A6" s="242" t="s">
        <v>50</v>
      </c>
      <c r="B6" s="12" t="s">
        <v>332</v>
      </c>
      <c r="C6" s="12"/>
      <c r="D6" s="12"/>
      <c r="E6" s="12"/>
      <c r="F6" s="12"/>
      <c r="G6" s="12"/>
      <c r="H6" s="12"/>
      <c r="I6" s="12"/>
      <c r="J6" s="12"/>
      <c r="K6" s="12"/>
      <c r="L6" s="12"/>
      <c r="M6" s="12"/>
      <c r="N6" s="87"/>
    </row>
    <row r="7" spans="1:15" s="4" customFormat="1" ht="15" x14ac:dyDescent="0.25">
      <c r="A7" s="418" t="s">
        <v>51</v>
      </c>
      <c r="B7" s="15" t="s">
        <v>331</v>
      </c>
      <c r="C7" s="15"/>
      <c r="D7" s="15"/>
      <c r="E7" s="15"/>
      <c r="F7" s="15"/>
      <c r="G7" s="15"/>
      <c r="H7" s="15"/>
      <c r="I7" s="15"/>
      <c r="J7" s="15"/>
      <c r="K7" s="15"/>
      <c r="L7" s="15"/>
      <c r="M7" s="15"/>
      <c r="N7" s="419"/>
    </row>
    <row r="8" spans="1:15" ht="15" x14ac:dyDescent="0.25">
      <c r="A8" s="242" t="s">
        <v>59</v>
      </c>
      <c r="B8" s="12" t="s">
        <v>225</v>
      </c>
      <c r="C8" s="12"/>
      <c r="D8" s="12"/>
      <c r="E8" s="12"/>
      <c r="F8" s="12"/>
      <c r="G8" s="12"/>
      <c r="H8" s="12"/>
      <c r="I8" s="12"/>
      <c r="J8" s="12"/>
      <c r="K8" s="12"/>
      <c r="L8" s="12"/>
      <c r="M8" s="12"/>
      <c r="N8" s="87"/>
    </row>
    <row r="9" spans="1:15" ht="15" x14ac:dyDescent="0.25">
      <c r="A9" s="242"/>
      <c r="B9" s="12" t="s">
        <v>226</v>
      </c>
      <c r="C9" s="12"/>
      <c r="D9" s="12"/>
      <c r="E9" s="12"/>
      <c r="F9" s="12"/>
      <c r="G9" s="12"/>
      <c r="H9" s="12"/>
      <c r="I9" s="12"/>
      <c r="J9" s="12"/>
      <c r="K9" s="12"/>
      <c r="L9" s="12"/>
      <c r="M9" s="12"/>
      <c r="N9" s="87"/>
    </row>
    <row r="10" spans="1:15" x14ac:dyDescent="0.3">
      <c r="A10" s="242"/>
      <c r="B10" s="12" t="s">
        <v>227</v>
      </c>
      <c r="C10" s="12"/>
      <c r="D10" s="12"/>
      <c r="E10" s="12"/>
      <c r="F10" s="12"/>
      <c r="G10" s="12"/>
      <c r="H10" s="12"/>
      <c r="I10" s="12"/>
      <c r="J10" s="12"/>
      <c r="K10" s="12"/>
      <c r="L10" s="12"/>
      <c r="M10" s="12"/>
      <c r="N10" s="87"/>
    </row>
    <row r="11" spans="1:15" s="293" customFormat="1" x14ac:dyDescent="0.3">
      <c r="A11" s="242"/>
      <c r="B11" s="15" t="s">
        <v>328</v>
      </c>
      <c r="C11" s="15"/>
      <c r="D11" s="15"/>
      <c r="E11" s="15"/>
      <c r="F11" s="15"/>
      <c r="G11" s="15"/>
      <c r="H11" s="15"/>
      <c r="I11" s="15"/>
      <c r="J11" s="15"/>
      <c r="K11" s="15"/>
      <c r="L11" s="294"/>
      <c r="M11" s="294"/>
      <c r="N11" s="87"/>
    </row>
    <row r="12" spans="1:15" ht="15" x14ac:dyDescent="0.25">
      <c r="A12" s="242"/>
      <c r="B12" s="12" t="s">
        <v>272</v>
      </c>
      <c r="C12" s="12"/>
      <c r="D12" s="12"/>
      <c r="E12" s="12"/>
      <c r="F12" s="12"/>
      <c r="G12" s="12"/>
      <c r="H12" s="12"/>
      <c r="I12" s="12"/>
      <c r="J12" s="12"/>
      <c r="K12" s="12"/>
      <c r="L12" s="12"/>
      <c r="M12" s="12"/>
      <c r="N12" s="87"/>
      <c r="O12" s="202"/>
    </row>
    <row r="13" spans="1:15" ht="15" x14ac:dyDescent="0.25">
      <c r="A13" s="242" t="s">
        <v>60</v>
      </c>
      <c r="B13" s="12" t="s">
        <v>62</v>
      </c>
      <c r="C13" s="12"/>
      <c r="D13" s="12"/>
      <c r="E13" s="12"/>
      <c r="F13" s="12"/>
      <c r="G13" s="12"/>
      <c r="H13" s="12"/>
      <c r="I13" s="12"/>
      <c r="J13" s="12"/>
      <c r="K13" s="12"/>
      <c r="L13" s="12"/>
      <c r="M13" s="12"/>
      <c r="N13" s="87"/>
    </row>
    <row r="14" spans="1:15" ht="15" x14ac:dyDescent="0.25">
      <c r="A14" s="242"/>
      <c r="B14" s="12"/>
      <c r="C14" s="244" t="s">
        <v>236</v>
      </c>
      <c r="D14" s="12"/>
      <c r="E14" s="12"/>
      <c r="F14" s="12"/>
      <c r="G14" s="12"/>
      <c r="H14" s="12"/>
      <c r="I14" s="12"/>
      <c r="J14" s="12"/>
      <c r="K14" s="12"/>
      <c r="L14" s="12"/>
      <c r="M14" s="12"/>
      <c r="N14" s="87"/>
    </row>
    <row r="15" spans="1:15" ht="15" x14ac:dyDescent="0.25">
      <c r="A15" s="242"/>
      <c r="B15" s="12"/>
      <c r="C15" s="244" t="s">
        <v>237</v>
      </c>
      <c r="D15" s="12"/>
      <c r="E15" s="12"/>
      <c r="F15" s="12"/>
      <c r="G15" s="12"/>
      <c r="H15" s="12"/>
      <c r="I15" s="12"/>
      <c r="J15" s="12"/>
      <c r="K15" s="12"/>
      <c r="L15" s="12"/>
      <c r="M15" s="12"/>
      <c r="N15" s="87"/>
    </row>
    <row r="16" spans="1:15" ht="15" x14ac:dyDescent="0.25">
      <c r="A16" s="242"/>
      <c r="B16" s="12"/>
      <c r="C16" s="244" t="s">
        <v>296</v>
      </c>
      <c r="D16" s="12"/>
      <c r="E16" s="12"/>
      <c r="F16" s="12"/>
      <c r="G16" s="12"/>
      <c r="H16" s="12"/>
      <c r="I16" s="12"/>
      <c r="J16" s="12"/>
      <c r="K16" s="12"/>
      <c r="L16" s="12"/>
      <c r="M16" s="12"/>
      <c r="N16" s="87"/>
    </row>
    <row r="17" spans="1:16" s="293" customFormat="1" ht="23.25" customHeight="1" x14ac:dyDescent="0.25">
      <c r="A17" s="242" t="s">
        <v>61</v>
      </c>
      <c r="B17" s="368" t="s">
        <v>304</v>
      </c>
      <c r="C17" s="294"/>
      <c r="D17" s="294"/>
      <c r="E17" s="294"/>
      <c r="F17" s="294"/>
      <c r="G17" s="294"/>
      <c r="H17" s="294"/>
      <c r="I17" s="369" t="s">
        <v>300</v>
      </c>
      <c r="J17" s="294"/>
      <c r="K17" s="294"/>
      <c r="L17" s="294"/>
      <c r="M17" s="294"/>
      <c r="N17" s="87"/>
      <c r="P17" s="293" t="s">
        <v>301</v>
      </c>
    </row>
    <row r="18" spans="1:16" s="293" customFormat="1" ht="33" customHeight="1" x14ac:dyDescent="0.25">
      <c r="A18" s="242"/>
      <c r="B18" s="441" t="s">
        <v>302</v>
      </c>
      <c r="C18" s="441"/>
      <c r="D18" s="441"/>
      <c r="E18" s="441"/>
      <c r="F18" s="441"/>
      <c r="G18" s="441"/>
      <c r="H18" s="441"/>
      <c r="I18" s="441"/>
      <c r="J18" s="441"/>
      <c r="K18" s="441"/>
      <c r="L18" s="441"/>
      <c r="M18" s="441"/>
      <c r="N18" s="87"/>
    </row>
    <row r="19" spans="1:16" s="293" customFormat="1" ht="38.25" customHeight="1" x14ac:dyDescent="0.25">
      <c r="A19" s="242"/>
      <c r="B19" s="441" t="s">
        <v>303</v>
      </c>
      <c r="C19" s="441"/>
      <c r="D19" s="441"/>
      <c r="E19" s="441"/>
      <c r="F19" s="441"/>
      <c r="G19" s="441"/>
      <c r="H19" s="441"/>
      <c r="I19" s="441"/>
      <c r="J19" s="441"/>
      <c r="K19" s="441"/>
      <c r="L19" s="441"/>
      <c r="M19" s="441"/>
      <c r="N19" s="87"/>
    </row>
    <row r="20" spans="1:16" s="293" customFormat="1" ht="17.25" customHeight="1" x14ac:dyDescent="0.25">
      <c r="A20" s="242"/>
      <c r="B20" s="441" t="s">
        <v>306</v>
      </c>
      <c r="C20" s="441"/>
      <c r="D20" s="441"/>
      <c r="E20" s="441"/>
      <c r="F20" s="441"/>
      <c r="G20" s="441"/>
      <c r="H20" s="441"/>
      <c r="I20" s="441"/>
      <c r="J20" s="441"/>
      <c r="K20" s="441"/>
      <c r="L20" s="441"/>
      <c r="M20" s="441"/>
      <c r="N20" s="87"/>
    </row>
    <row r="21" spans="1:16" s="293" customFormat="1" ht="17.25" customHeight="1" x14ac:dyDescent="0.25">
      <c r="A21" s="242" t="s">
        <v>137</v>
      </c>
      <c r="B21" s="442" t="s">
        <v>322</v>
      </c>
      <c r="C21" s="442"/>
      <c r="D21" s="442"/>
      <c r="E21" s="442"/>
      <c r="F21" s="442"/>
      <c r="G21" s="442"/>
      <c r="H21" s="442"/>
      <c r="I21" s="415">
        <v>60</v>
      </c>
      <c r="J21" s="407" t="s">
        <v>321</v>
      </c>
      <c r="K21" s="416">
        <f>I21/100</f>
        <v>0.6</v>
      </c>
      <c r="L21" s="407"/>
      <c r="M21" s="407"/>
      <c r="N21" s="87"/>
    </row>
    <row r="22" spans="1:16" s="293" customFormat="1" ht="107.25" customHeight="1" x14ac:dyDescent="0.25">
      <c r="A22" s="242"/>
      <c r="B22" s="441" t="s">
        <v>334</v>
      </c>
      <c r="C22" s="441"/>
      <c r="D22" s="441"/>
      <c r="E22" s="441"/>
      <c r="F22" s="441"/>
      <c r="G22" s="441"/>
      <c r="H22" s="441"/>
      <c r="I22" s="441"/>
      <c r="J22" s="441"/>
      <c r="K22" s="441"/>
      <c r="L22" s="441"/>
      <c r="M22" s="441"/>
      <c r="N22" s="87"/>
    </row>
    <row r="23" spans="1:16" x14ac:dyDescent="0.3">
      <c r="A23" s="242" t="s">
        <v>277</v>
      </c>
      <c r="B23" s="12" t="s">
        <v>329</v>
      </c>
      <c r="C23" s="12"/>
      <c r="D23" s="12"/>
      <c r="E23" s="12"/>
      <c r="F23" s="12"/>
      <c r="G23" s="12"/>
      <c r="H23" s="12"/>
      <c r="I23" s="12"/>
      <c r="J23" s="12"/>
      <c r="K23" s="12"/>
      <c r="L23" s="12"/>
      <c r="M23" s="12"/>
      <c r="N23" s="87"/>
      <c r="P23" t="s">
        <v>305</v>
      </c>
    </row>
    <row r="24" spans="1:16" x14ac:dyDescent="0.3">
      <c r="A24" s="242" t="s">
        <v>230</v>
      </c>
      <c r="B24" s="12"/>
      <c r="C24" s="12"/>
      <c r="D24" s="12"/>
      <c r="E24" s="12"/>
      <c r="F24" s="12"/>
      <c r="G24" s="12"/>
      <c r="H24" s="12"/>
      <c r="I24" s="12"/>
      <c r="J24" s="12"/>
      <c r="K24" s="12"/>
      <c r="L24" s="12"/>
      <c r="M24" s="12"/>
      <c r="N24" s="87"/>
    </row>
    <row r="25" spans="1:16" ht="15" thickBot="1" x14ac:dyDescent="0.35">
      <c r="A25" s="245"/>
      <c r="B25" s="100"/>
      <c r="C25" s="100"/>
      <c r="D25" s="100"/>
      <c r="E25" s="100"/>
      <c r="F25" s="100"/>
      <c r="G25" s="100"/>
      <c r="H25" s="100"/>
      <c r="I25" s="100"/>
      <c r="J25" s="100"/>
      <c r="K25" s="100"/>
      <c r="L25" s="100"/>
      <c r="M25" s="100"/>
      <c r="N25" s="102"/>
    </row>
    <row r="26" spans="1:16" ht="15" thickTop="1" x14ac:dyDescent="0.3">
      <c r="A26" s="64"/>
    </row>
    <row r="27" spans="1:16" x14ac:dyDescent="0.3">
      <c r="A27" s="64"/>
    </row>
    <row r="28" spans="1:16" ht="18" x14ac:dyDescent="0.35">
      <c r="A28" s="246" t="s">
        <v>231</v>
      </c>
    </row>
    <row r="29" spans="1:16" x14ac:dyDescent="0.3">
      <c r="C29" s="377"/>
      <c r="D29" s="377"/>
      <c r="E29" s="377"/>
    </row>
  </sheetData>
  <mergeCells count="5">
    <mergeCell ref="B18:M18"/>
    <mergeCell ref="B19:M19"/>
    <mergeCell ref="B20:M20"/>
    <mergeCell ref="B21:H21"/>
    <mergeCell ref="B22:M22"/>
  </mergeCells>
  <dataValidations count="1">
    <dataValidation type="list" allowBlank="1" showInputMessage="1" showErrorMessage="1" sqref="I17">
      <formula1>$P$17:$P$17</formula1>
    </dataValidation>
  </dataValidations>
  <hyperlinks>
    <hyperlink ref="G3" r:id="rId1"/>
  </hyperlinks>
  <pageMargins left="0.70866141732283472" right="0.70866141732283472" top="0.74803149606299213" bottom="0.74803149606299213" header="0.31496062992125984" footer="0.31496062992125984"/>
  <pageSetup paperSize="9" scale="39" orientation="portrait" r:id="rId2"/>
  <headerFooter>
    <oddFooter>&amp;LPA has made every effort to provide detailed share records and this calculator to you.   It remains however your personal responsibility to report your share income on your tax returns.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E95"/>
  <sheetViews>
    <sheetView zoomScale="110" zoomScaleNormal="110" workbookViewId="0"/>
  </sheetViews>
  <sheetFormatPr defaultRowHeight="14.4" x14ac:dyDescent="0.3"/>
  <cols>
    <col min="1" max="1" width="15.88671875" customWidth="1"/>
    <col min="2" max="2" width="33.109375" customWidth="1"/>
    <col min="3" max="3" width="6.109375" bestFit="1" customWidth="1"/>
    <col min="4" max="4" width="5.6640625" bestFit="1" customWidth="1"/>
    <col min="5" max="5" width="9.6640625" bestFit="1" customWidth="1"/>
    <col min="6" max="6" width="15.44140625" customWidth="1"/>
    <col min="7" max="7" width="10.44140625" bestFit="1" customWidth="1"/>
    <col min="8" max="8" width="10.5546875" bestFit="1" customWidth="1"/>
    <col min="9" max="9" width="10" bestFit="1" customWidth="1"/>
    <col min="10" max="10" width="15.33203125" bestFit="1" customWidth="1"/>
    <col min="11" max="11" width="12.6640625" bestFit="1" customWidth="1"/>
    <col min="12" max="12" width="12.44140625" bestFit="1" customWidth="1"/>
    <col min="13" max="13" width="4" customWidth="1"/>
    <col min="14" max="14" width="13.44140625" customWidth="1"/>
    <col min="15" max="15" width="15.33203125" customWidth="1"/>
    <col min="16" max="16" width="37.44140625" bestFit="1" customWidth="1"/>
    <col min="18" max="19" width="11.5546875" hidden="1" customWidth="1"/>
    <col min="20" max="22" width="9.109375" hidden="1" customWidth="1"/>
    <col min="23" max="24" width="11.5546875" hidden="1" customWidth="1"/>
    <col min="25" max="26" width="9.109375" hidden="1" customWidth="1"/>
    <col min="27" max="27" width="0" hidden="1" customWidth="1"/>
    <col min="28" max="28" width="11.109375" hidden="1" customWidth="1"/>
    <col min="29" max="29" width="11.5546875" hidden="1" customWidth="1"/>
    <col min="30" max="31" width="0" hidden="1" customWidth="1"/>
  </cols>
  <sheetData>
    <row r="1" spans="1:16" s="1" customFormat="1" ht="18.75" x14ac:dyDescent="0.3">
      <c r="A1" s="1" t="s">
        <v>122</v>
      </c>
    </row>
    <row r="2" spans="1:16" s="1" customFormat="1" ht="18.75" x14ac:dyDescent="0.3">
      <c r="A2" s="5" t="s">
        <v>123</v>
      </c>
    </row>
    <row r="3" spans="1:16" s="1" customFormat="1" ht="13.5" customHeight="1" x14ac:dyDescent="0.3"/>
    <row r="4" spans="1:16" s="1" customFormat="1" ht="38.25" customHeight="1" x14ac:dyDescent="0.35">
      <c r="A4" s="443" t="s">
        <v>73</v>
      </c>
      <c r="B4" s="444"/>
      <c r="C4" s="444"/>
      <c r="D4" s="444"/>
      <c r="E4" s="444"/>
      <c r="F4" s="444"/>
      <c r="G4" s="444"/>
      <c r="H4" s="444"/>
      <c r="I4" s="444"/>
      <c r="J4" s="444"/>
      <c r="K4" s="444"/>
      <c r="L4" s="444"/>
      <c r="M4" s="444"/>
      <c r="N4" s="444"/>
      <c r="O4" s="444"/>
    </row>
    <row r="5" spans="1:16" s="1" customFormat="1" ht="38.25" customHeight="1" x14ac:dyDescent="0.3">
      <c r="A5" s="443" t="s">
        <v>121</v>
      </c>
      <c r="B5" s="444"/>
      <c r="C5" s="444"/>
      <c r="D5" s="444"/>
      <c r="E5" s="444"/>
      <c r="F5" s="444"/>
      <c r="G5" s="444"/>
      <c r="H5" s="444"/>
      <c r="I5" s="444"/>
      <c r="J5" s="444"/>
      <c r="K5" s="444"/>
      <c r="L5" s="444"/>
      <c r="M5" s="444"/>
      <c r="N5" s="444"/>
      <c r="O5" s="444"/>
    </row>
    <row r="6" spans="1:16" s="1" customFormat="1" ht="10.5" customHeight="1" x14ac:dyDescent="0.3">
      <c r="A6" s="2"/>
    </row>
    <row r="7" spans="1:16" ht="18" x14ac:dyDescent="0.35">
      <c r="A7" s="1" t="s">
        <v>74</v>
      </c>
    </row>
    <row r="8" spans="1:16" ht="15" x14ac:dyDescent="0.25">
      <c r="A8" s="6" t="s">
        <v>18</v>
      </c>
      <c r="B8" s="3"/>
      <c r="C8" s="3"/>
      <c r="D8" s="3"/>
      <c r="E8" s="3"/>
      <c r="F8" s="3"/>
      <c r="G8" s="3"/>
      <c r="H8" s="3"/>
      <c r="I8" s="3"/>
      <c r="J8" s="3"/>
      <c r="K8" s="3"/>
      <c r="L8" s="3"/>
    </row>
    <row r="9" spans="1:16" ht="15.75" thickBot="1" x14ac:dyDescent="0.3">
      <c r="A9" s="6"/>
      <c r="B9" s="3"/>
      <c r="C9" s="3"/>
      <c r="D9" s="3"/>
      <c r="E9" s="3"/>
      <c r="F9" s="3"/>
      <c r="G9" s="3"/>
      <c r="H9" s="3"/>
      <c r="I9" s="3"/>
      <c r="J9" s="3"/>
      <c r="K9" s="3"/>
      <c r="L9" s="3"/>
    </row>
    <row r="10" spans="1:16" ht="18.75" x14ac:dyDescent="0.3">
      <c r="A10" s="180" t="s">
        <v>134</v>
      </c>
      <c r="B10" s="47"/>
      <c r="C10" s="47" t="s">
        <v>12</v>
      </c>
      <c r="D10" s="47" t="s">
        <v>12</v>
      </c>
      <c r="E10" s="47" t="s">
        <v>9</v>
      </c>
      <c r="F10" s="47" t="s">
        <v>9</v>
      </c>
      <c r="G10" s="47" t="s">
        <v>10</v>
      </c>
      <c r="H10" s="47" t="s">
        <v>11</v>
      </c>
      <c r="I10" s="47" t="s">
        <v>11</v>
      </c>
      <c r="J10" s="47" t="s">
        <v>11</v>
      </c>
      <c r="K10" s="47"/>
      <c r="L10" s="48" t="s">
        <v>11</v>
      </c>
      <c r="M10" s="9"/>
      <c r="N10" s="173" t="s">
        <v>307</v>
      </c>
      <c r="O10" s="82"/>
      <c r="P10" s="76"/>
    </row>
    <row r="11" spans="1:16" ht="15" thickBot="1" x14ac:dyDescent="0.35">
      <c r="A11" s="49" t="s">
        <v>0</v>
      </c>
      <c r="B11" s="50" t="s">
        <v>1</v>
      </c>
      <c r="C11" s="50" t="s">
        <v>53</v>
      </c>
      <c r="D11" s="50" t="s">
        <v>52</v>
      </c>
      <c r="E11" s="50" t="s">
        <v>3</v>
      </c>
      <c r="F11" s="50" t="s">
        <v>58</v>
      </c>
      <c r="G11" s="50" t="s">
        <v>5</v>
      </c>
      <c r="H11" s="50" t="s">
        <v>4</v>
      </c>
      <c r="I11" s="50" t="s">
        <v>55</v>
      </c>
      <c r="J11" s="50" t="s">
        <v>6</v>
      </c>
      <c r="K11" s="50" t="s">
        <v>8</v>
      </c>
      <c r="L11" s="51" t="s">
        <v>7</v>
      </c>
      <c r="M11" s="294"/>
      <c r="N11" s="187" t="s">
        <v>127</v>
      </c>
      <c r="O11" s="174" t="s">
        <v>128</v>
      </c>
      <c r="P11" s="175" t="s">
        <v>133</v>
      </c>
    </row>
    <row r="12" spans="1:16" s="7" customFormat="1" ht="34.5" customHeight="1" x14ac:dyDescent="0.2">
      <c r="A12" s="42" t="s">
        <v>19</v>
      </c>
      <c r="B12" s="43" t="s">
        <v>320</v>
      </c>
      <c r="C12" s="44" t="s">
        <v>54</v>
      </c>
      <c r="D12" s="44" t="s">
        <v>44</v>
      </c>
      <c r="E12" s="43" t="s">
        <v>25</v>
      </c>
      <c r="F12" s="43" t="s">
        <v>46</v>
      </c>
      <c r="G12" s="45" t="s">
        <v>57</v>
      </c>
      <c r="H12" s="45" t="s">
        <v>21</v>
      </c>
      <c r="I12" s="45" t="s">
        <v>56</v>
      </c>
      <c r="J12" s="45" t="s">
        <v>20</v>
      </c>
      <c r="K12" s="45" t="s">
        <v>22</v>
      </c>
      <c r="L12" s="46" t="s">
        <v>23</v>
      </c>
      <c r="M12" s="22"/>
      <c r="N12" s="297"/>
      <c r="O12" s="297"/>
      <c r="P12" s="356"/>
    </row>
    <row r="13" spans="1:16" ht="15" x14ac:dyDescent="0.25">
      <c r="A13" s="299"/>
      <c r="B13" s="300"/>
      <c r="C13" s="301"/>
      <c r="D13" s="302"/>
      <c r="E13" s="303"/>
      <c r="F13" s="303"/>
      <c r="G13" s="304"/>
      <c r="H13" s="296" t="str">
        <f>IF(C13&gt;0,F13*G13,IF(D13&gt;0,E13*G13,""))</f>
        <v/>
      </c>
      <c r="I13" s="65">
        <f>IF(C13&gt;0,C13*H13,IF(D13&gt;0,D13*L12,0))</f>
        <v>0</v>
      </c>
      <c r="J13" s="65">
        <f>I13</f>
        <v>0</v>
      </c>
      <c r="K13" s="66">
        <f>C13</f>
        <v>0</v>
      </c>
      <c r="L13" s="65">
        <f>IF(K13&gt;0,J13/K13,0)</f>
        <v>0</v>
      </c>
      <c r="M13" s="294"/>
      <c r="N13" s="297" t="str">
        <f t="shared" ref="N13:N22" si="0">IF(D13&gt;0,H13*D13,"")</f>
        <v/>
      </c>
      <c r="O13" s="297" t="str">
        <f t="shared" ref="O13:O22" si="1">IF(D13&gt;0,I13,"")</f>
        <v/>
      </c>
      <c r="P13" s="356" t="str">
        <f t="shared" ref="P13" si="2">IF(D13&gt;0,N13+O13,"")</f>
        <v/>
      </c>
    </row>
    <row r="14" spans="1:16" ht="15" x14ac:dyDescent="0.25">
      <c r="A14" s="299"/>
      <c r="B14" s="300"/>
      <c r="C14" s="301"/>
      <c r="D14" s="302"/>
      <c r="E14" s="303"/>
      <c r="F14" s="303"/>
      <c r="G14" s="304"/>
      <c r="H14" s="296" t="str">
        <f t="shared" ref="H14:H23" si="3">IF(C14&gt;0,F14*G14,IF(D14&gt;0,E14*G14,""))</f>
        <v/>
      </c>
      <c r="I14" s="297">
        <f>IF(C14&gt;0,C14*H14,IF(D14&gt;0,-D14*H13,0))</f>
        <v>0</v>
      </c>
      <c r="J14" s="297">
        <f t="shared" ref="J14:J22" si="4">J13+I14</f>
        <v>0</v>
      </c>
      <c r="K14" s="298">
        <f>C14+K13-D14</f>
        <v>0</v>
      </c>
      <c r="L14" s="297">
        <f t="shared" ref="L14:L29" si="5">IF(K14&gt;0,J14/K14,0)</f>
        <v>0</v>
      </c>
      <c r="M14" s="294"/>
      <c r="N14" s="297" t="str">
        <f t="shared" si="0"/>
        <v/>
      </c>
      <c r="O14" s="297" t="str">
        <f t="shared" si="1"/>
        <v/>
      </c>
      <c r="P14" s="356" t="str">
        <f>IF(D14&gt;0,N14+O14,"")</f>
        <v/>
      </c>
    </row>
    <row r="15" spans="1:16" ht="15" x14ac:dyDescent="0.25">
      <c r="A15" s="299"/>
      <c r="B15" s="300"/>
      <c r="C15" s="301"/>
      <c r="D15" s="302"/>
      <c r="E15" s="303"/>
      <c r="F15" s="303"/>
      <c r="G15" s="304"/>
      <c r="H15" s="296" t="str">
        <f t="shared" si="3"/>
        <v/>
      </c>
      <c r="I15" s="297">
        <f>IF(C15&gt;0,C15*H15,IF(D15&gt;0,-D15*H14,0))</f>
        <v>0</v>
      </c>
      <c r="J15" s="297">
        <f t="shared" si="4"/>
        <v>0</v>
      </c>
      <c r="K15" s="298">
        <f t="shared" ref="K15:K30" si="6">C15+K14-D15</f>
        <v>0</v>
      </c>
      <c r="L15" s="297">
        <f t="shared" si="5"/>
        <v>0</v>
      </c>
      <c r="M15" s="294"/>
      <c r="N15" s="297" t="str">
        <f t="shared" si="0"/>
        <v/>
      </c>
      <c r="O15" s="297" t="str">
        <f t="shared" si="1"/>
        <v/>
      </c>
      <c r="P15" s="356" t="str">
        <f t="shared" ref="P15" si="7">IF(D15&gt;0,N15+O15,"")</f>
        <v/>
      </c>
    </row>
    <row r="16" spans="1:16" ht="15" x14ac:dyDescent="0.25">
      <c r="A16" s="299"/>
      <c r="B16" s="300"/>
      <c r="C16" s="301"/>
      <c r="D16" s="302"/>
      <c r="E16" s="303"/>
      <c r="F16" s="303"/>
      <c r="G16" s="304"/>
      <c r="H16" s="296" t="str">
        <f t="shared" si="3"/>
        <v/>
      </c>
      <c r="I16" s="297">
        <f>IF(C16&gt;0,C16*H16,IF(D16&gt;0,-D16*H15,0))</f>
        <v>0</v>
      </c>
      <c r="J16" s="297">
        <f t="shared" si="4"/>
        <v>0</v>
      </c>
      <c r="K16" s="298">
        <f t="shared" si="6"/>
        <v>0</v>
      </c>
      <c r="L16" s="297">
        <f t="shared" si="5"/>
        <v>0</v>
      </c>
      <c r="M16" s="294"/>
      <c r="N16" s="297" t="str">
        <f t="shared" si="0"/>
        <v/>
      </c>
      <c r="O16" s="297" t="str">
        <f t="shared" si="1"/>
        <v/>
      </c>
      <c r="P16" s="356" t="str">
        <f>IF(D16&gt;0,N16+O16,"")</f>
        <v/>
      </c>
    </row>
    <row r="17" spans="1:16" ht="15" x14ac:dyDescent="0.25">
      <c r="A17" s="299"/>
      <c r="B17" s="300"/>
      <c r="C17" s="301"/>
      <c r="D17" s="302"/>
      <c r="E17" s="303"/>
      <c r="F17" s="303"/>
      <c r="G17" s="304"/>
      <c r="H17" s="296" t="str">
        <f>IF(C17&gt;0,F17*G17,IF(D17&gt;0,E17*G17,""))</f>
        <v/>
      </c>
      <c r="I17" s="297">
        <f t="shared" ref="I17:I18" si="8">IF(C17&gt;0,C17*H17,IF(D17&gt;0,-D17*H16,0))</f>
        <v>0</v>
      </c>
      <c r="J17" s="297">
        <f t="shared" si="4"/>
        <v>0</v>
      </c>
      <c r="K17" s="298">
        <f t="shared" si="6"/>
        <v>0</v>
      </c>
      <c r="L17" s="297">
        <f t="shared" si="5"/>
        <v>0</v>
      </c>
      <c r="M17" s="294"/>
      <c r="N17" s="297" t="str">
        <f t="shared" si="0"/>
        <v/>
      </c>
      <c r="O17" s="297" t="str">
        <f t="shared" si="1"/>
        <v/>
      </c>
      <c r="P17" s="356" t="str">
        <f t="shared" ref="P17:P22" si="9">IF(D17&gt;0,N17+O17,"")</f>
        <v/>
      </c>
    </row>
    <row r="18" spans="1:16" ht="15" x14ac:dyDescent="0.25">
      <c r="A18" s="299"/>
      <c r="B18" s="300"/>
      <c r="C18" s="301"/>
      <c r="D18" s="302"/>
      <c r="E18" s="303"/>
      <c r="F18" s="303"/>
      <c r="G18" s="304"/>
      <c r="H18" s="296" t="str">
        <f t="shared" si="3"/>
        <v/>
      </c>
      <c r="I18" s="297">
        <f t="shared" si="8"/>
        <v>0</v>
      </c>
      <c r="J18" s="297">
        <f t="shared" si="4"/>
        <v>0</v>
      </c>
      <c r="K18" s="298">
        <f t="shared" si="6"/>
        <v>0</v>
      </c>
      <c r="L18" s="297">
        <f t="shared" si="5"/>
        <v>0</v>
      </c>
      <c r="M18" s="294"/>
      <c r="N18" s="297" t="str">
        <f t="shared" si="0"/>
        <v/>
      </c>
      <c r="O18" s="297" t="str">
        <f t="shared" si="1"/>
        <v/>
      </c>
      <c r="P18" s="356" t="str">
        <f t="shared" si="9"/>
        <v/>
      </c>
    </row>
    <row r="19" spans="1:16" ht="15" x14ac:dyDescent="0.25">
      <c r="A19" s="299"/>
      <c r="B19" s="300"/>
      <c r="C19" s="301"/>
      <c r="D19" s="302"/>
      <c r="E19" s="303"/>
      <c r="F19" s="303"/>
      <c r="G19" s="304"/>
      <c r="H19" s="296" t="str">
        <f t="shared" si="3"/>
        <v/>
      </c>
      <c r="I19" s="297">
        <f t="shared" ref="I19:I30" si="10">IF(C19&gt;0,C19*H19,IF(D19&gt;0,-D19*H18,0))</f>
        <v>0</v>
      </c>
      <c r="J19" s="297">
        <f t="shared" si="4"/>
        <v>0</v>
      </c>
      <c r="K19" s="298">
        <f t="shared" si="6"/>
        <v>0</v>
      </c>
      <c r="L19" s="297">
        <f t="shared" si="5"/>
        <v>0</v>
      </c>
      <c r="M19" s="294"/>
      <c r="N19" s="297" t="str">
        <f t="shared" si="0"/>
        <v/>
      </c>
      <c r="O19" s="297" t="str">
        <f t="shared" si="1"/>
        <v/>
      </c>
      <c r="P19" s="356" t="str">
        <f t="shared" si="9"/>
        <v/>
      </c>
    </row>
    <row r="20" spans="1:16" x14ac:dyDescent="0.3">
      <c r="A20" s="299"/>
      <c r="B20" s="300"/>
      <c r="C20" s="301"/>
      <c r="D20" s="302"/>
      <c r="E20" s="303"/>
      <c r="F20" s="303"/>
      <c r="G20" s="304"/>
      <c r="H20" s="296" t="str">
        <f>IF(C20&gt;0,F20*G20,IF(D20&gt;0,E20*G20,""))</f>
        <v/>
      </c>
      <c r="I20" s="297">
        <f t="shared" si="10"/>
        <v>0</v>
      </c>
      <c r="J20" s="297">
        <f t="shared" si="4"/>
        <v>0</v>
      </c>
      <c r="K20" s="298">
        <f t="shared" si="6"/>
        <v>0</v>
      </c>
      <c r="L20" s="297">
        <f t="shared" si="5"/>
        <v>0</v>
      </c>
      <c r="M20" s="294"/>
      <c r="N20" s="297" t="str">
        <f t="shared" si="0"/>
        <v/>
      </c>
      <c r="O20" s="297" t="str">
        <f t="shared" si="1"/>
        <v/>
      </c>
      <c r="P20" s="356" t="str">
        <f t="shared" si="9"/>
        <v/>
      </c>
    </row>
    <row r="21" spans="1:16" x14ac:dyDescent="0.3">
      <c r="A21" s="299"/>
      <c r="B21" s="300"/>
      <c r="C21" s="301"/>
      <c r="D21" s="302"/>
      <c r="E21" s="303"/>
      <c r="F21" s="303"/>
      <c r="G21" s="304"/>
      <c r="H21" s="296" t="str">
        <f>IF(C21&gt;0,F21*G21,IF(D21&gt;0,E21*G21,""))</f>
        <v/>
      </c>
      <c r="I21" s="297">
        <f t="shared" si="10"/>
        <v>0</v>
      </c>
      <c r="J21" s="297">
        <f t="shared" si="4"/>
        <v>0</v>
      </c>
      <c r="K21" s="298">
        <f t="shared" si="6"/>
        <v>0</v>
      </c>
      <c r="L21" s="297">
        <f t="shared" si="5"/>
        <v>0</v>
      </c>
      <c r="M21" s="294"/>
      <c r="N21" s="297" t="str">
        <f t="shared" si="0"/>
        <v/>
      </c>
      <c r="O21" s="297" t="str">
        <f t="shared" si="1"/>
        <v/>
      </c>
      <c r="P21" s="356" t="str">
        <f t="shared" si="9"/>
        <v/>
      </c>
    </row>
    <row r="22" spans="1:16" x14ac:dyDescent="0.3">
      <c r="A22" s="299"/>
      <c r="B22" s="300"/>
      <c r="C22" s="301"/>
      <c r="D22" s="302"/>
      <c r="E22" s="303"/>
      <c r="F22" s="303"/>
      <c r="G22" s="304"/>
      <c r="H22" s="296" t="str">
        <f t="shared" si="3"/>
        <v/>
      </c>
      <c r="I22" s="297">
        <f t="shared" si="10"/>
        <v>0</v>
      </c>
      <c r="J22" s="297">
        <f t="shared" si="4"/>
        <v>0</v>
      </c>
      <c r="K22" s="298">
        <f t="shared" si="6"/>
        <v>0</v>
      </c>
      <c r="L22" s="297">
        <f t="shared" si="5"/>
        <v>0</v>
      </c>
      <c r="M22" s="294"/>
      <c r="N22" s="297" t="str">
        <f t="shared" si="0"/>
        <v/>
      </c>
      <c r="O22" s="297" t="str">
        <f t="shared" si="1"/>
        <v/>
      </c>
      <c r="P22" s="356" t="str">
        <f t="shared" si="9"/>
        <v/>
      </c>
    </row>
    <row r="23" spans="1:16" x14ac:dyDescent="0.3">
      <c r="A23" s="299"/>
      <c r="B23" s="300"/>
      <c r="C23" s="301"/>
      <c r="D23" s="302"/>
      <c r="E23" s="303"/>
      <c r="F23" s="303"/>
      <c r="G23" s="304"/>
      <c r="H23" s="296" t="str">
        <f t="shared" si="3"/>
        <v/>
      </c>
      <c r="I23" s="297">
        <f t="shared" si="10"/>
        <v>0</v>
      </c>
      <c r="J23" s="297">
        <f t="shared" ref="J23:J30" si="11">J22+I23</f>
        <v>0</v>
      </c>
      <c r="K23" s="298">
        <f t="shared" si="6"/>
        <v>0</v>
      </c>
      <c r="L23" s="297">
        <f t="shared" si="5"/>
        <v>0</v>
      </c>
      <c r="M23" s="294"/>
      <c r="N23" s="297" t="str">
        <f t="shared" ref="N23:N30" si="12">IF(D23&gt;0,H23*D23,"")</f>
        <v/>
      </c>
      <c r="O23" s="297" t="str">
        <f t="shared" ref="O23:O30" si="13">IF(D23&gt;0,I23,"")</f>
        <v/>
      </c>
      <c r="P23" s="356" t="str">
        <f t="shared" ref="P23:P30" si="14">IF(D23&gt;0,N23+O23,"")</f>
        <v/>
      </c>
    </row>
    <row r="24" spans="1:16" x14ac:dyDescent="0.3">
      <c r="A24" s="299"/>
      <c r="B24" s="300"/>
      <c r="C24" s="301"/>
      <c r="D24" s="302"/>
      <c r="E24" s="303"/>
      <c r="F24" s="303"/>
      <c r="G24" s="304"/>
      <c r="H24" s="296" t="str">
        <f t="shared" ref="H24:H30" si="15">IF(C24&gt;0,F24*G24,IF(D24&gt;0,E24*G24,""))</f>
        <v/>
      </c>
      <c r="I24" s="297">
        <f t="shared" si="10"/>
        <v>0</v>
      </c>
      <c r="J24" s="297">
        <f t="shared" si="11"/>
        <v>0</v>
      </c>
      <c r="K24" s="298">
        <f t="shared" si="6"/>
        <v>0</v>
      </c>
      <c r="L24" s="297">
        <f t="shared" si="5"/>
        <v>0</v>
      </c>
      <c r="M24" s="294"/>
      <c r="N24" s="297" t="str">
        <f>IF(D24&gt;0,H24*D24,"")</f>
        <v/>
      </c>
      <c r="O24" s="297" t="str">
        <f t="shared" si="13"/>
        <v/>
      </c>
      <c r="P24" s="356" t="str">
        <f t="shared" si="14"/>
        <v/>
      </c>
    </row>
    <row r="25" spans="1:16" x14ac:dyDescent="0.3">
      <c r="A25" s="299"/>
      <c r="B25" s="300"/>
      <c r="C25" s="301"/>
      <c r="D25" s="302"/>
      <c r="E25" s="303"/>
      <c r="F25" s="303"/>
      <c r="G25" s="304"/>
      <c r="H25" s="296" t="str">
        <f t="shared" si="15"/>
        <v/>
      </c>
      <c r="I25" s="297">
        <f t="shared" si="10"/>
        <v>0</v>
      </c>
      <c r="J25" s="297">
        <f t="shared" si="11"/>
        <v>0</v>
      </c>
      <c r="K25" s="298">
        <f t="shared" si="6"/>
        <v>0</v>
      </c>
      <c r="L25" s="297">
        <f t="shared" si="5"/>
        <v>0</v>
      </c>
      <c r="M25" s="294"/>
      <c r="N25" s="297" t="str">
        <f t="shared" si="12"/>
        <v/>
      </c>
      <c r="O25" s="297" t="str">
        <f t="shared" si="13"/>
        <v/>
      </c>
      <c r="P25" s="356" t="str">
        <f t="shared" si="14"/>
        <v/>
      </c>
    </row>
    <row r="26" spans="1:16" x14ac:dyDescent="0.3">
      <c r="A26" s="299"/>
      <c r="B26" s="300"/>
      <c r="C26" s="301"/>
      <c r="D26" s="302"/>
      <c r="E26" s="303"/>
      <c r="F26" s="303"/>
      <c r="G26" s="304"/>
      <c r="H26" s="296" t="str">
        <f t="shared" si="15"/>
        <v/>
      </c>
      <c r="I26" s="297">
        <f t="shared" si="10"/>
        <v>0</v>
      </c>
      <c r="J26" s="297">
        <f t="shared" si="11"/>
        <v>0</v>
      </c>
      <c r="K26" s="298">
        <f t="shared" si="6"/>
        <v>0</v>
      </c>
      <c r="L26" s="297">
        <f t="shared" si="5"/>
        <v>0</v>
      </c>
      <c r="M26" s="294"/>
      <c r="N26" s="297" t="str">
        <f t="shared" si="12"/>
        <v/>
      </c>
      <c r="O26" s="297" t="str">
        <f t="shared" si="13"/>
        <v/>
      </c>
      <c r="P26" s="356" t="str">
        <f t="shared" si="14"/>
        <v/>
      </c>
    </row>
    <row r="27" spans="1:16" x14ac:dyDescent="0.3">
      <c r="A27" s="299"/>
      <c r="B27" s="300"/>
      <c r="C27" s="301"/>
      <c r="D27" s="302"/>
      <c r="E27" s="303"/>
      <c r="F27" s="303"/>
      <c r="G27" s="304"/>
      <c r="H27" s="296" t="str">
        <f t="shared" si="15"/>
        <v/>
      </c>
      <c r="I27" s="297">
        <f t="shared" si="10"/>
        <v>0</v>
      </c>
      <c r="J27" s="297">
        <f t="shared" si="11"/>
        <v>0</v>
      </c>
      <c r="K27" s="298">
        <f t="shared" si="6"/>
        <v>0</v>
      </c>
      <c r="L27" s="297">
        <f t="shared" si="5"/>
        <v>0</v>
      </c>
      <c r="M27" s="294"/>
      <c r="N27" s="297" t="str">
        <f t="shared" si="12"/>
        <v/>
      </c>
      <c r="O27" s="297" t="str">
        <f t="shared" si="13"/>
        <v/>
      </c>
      <c r="P27" s="356" t="str">
        <f t="shared" si="14"/>
        <v/>
      </c>
    </row>
    <row r="28" spans="1:16" x14ac:dyDescent="0.3">
      <c r="A28" s="299"/>
      <c r="B28" s="300"/>
      <c r="C28" s="301"/>
      <c r="D28" s="302"/>
      <c r="E28" s="303"/>
      <c r="F28" s="303"/>
      <c r="G28" s="304"/>
      <c r="H28" s="296" t="str">
        <f t="shared" si="15"/>
        <v/>
      </c>
      <c r="I28" s="297">
        <f t="shared" si="10"/>
        <v>0</v>
      </c>
      <c r="J28" s="297">
        <f t="shared" si="11"/>
        <v>0</v>
      </c>
      <c r="K28" s="298">
        <f t="shared" si="6"/>
        <v>0</v>
      </c>
      <c r="L28" s="297">
        <f t="shared" si="5"/>
        <v>0</v>
      </c>
      <c r="M28" s="294"/>
      <c r="N28" s="297" t="str">
        <f t="shared" si="12"/>
        <v/>
      </c>
      <c r="O28" s="297" t="str">
        <f t="shared" si="13"/>
        <v/>
      </c>
      <c r="P28" s="356" t="str">
        <f>IF(D28&gt;0,N28+O28,"")</f>
        <v/>
      </c>
    </row>
    <row r="29" spans="1:16" x14ac:dyDescent="0.3">
      <c r="A29" s="299"/>
      <c r="B29" s="300"/>
      <c r="C29" s="301"/>
      <c r="D29" s="302"/>
      <c r="E29" s="303"/>
      <c r="F29" s="303"/>
      <c r="G29" s="304"/>
      <c r="H29" s="296" t="str">
        <f t="shared" si="15"/>
        <v/>
      </c>
      <c r="I29" s="297">
        <f t="shared" si="10"/>
        <v>0</v>
      </c>
      <c r="J29" s="297">
        <f t="shared" si="11"/>
        <v>0</v>
      </c>
      <c r="K29" s="298">
        <f t="shared" si="6"/>
        <v>0</v>
      </c>
      <c r="L29" s="297">
        <f t="shared" si="5"/>
        <v>0</v>
      </c>
      <c r="M29" s="294"/>
      <c r="N29" s="297" t="str">
        <f t="shared" si="12"/>
        <v/>
      </c>
      <c r="O29" s="297" t="str">
        <f t="shared" si="13"/>
        <v/>
      </c>
      <c r="P29" s="356" t="str">
        <f t="shared" si="14"/>
        <v/>
      </c>
    </row>
    <row r="30" spans="1:16" x14ac:dyDescent="0.3">
      <c r="A30" s="299"/>
      <c r="B30" s="300"/>
      <c r="C30" s="301"/>
      <c r="D30" s="302"/>
      <c r="E30" s="303"/>
      <c r="F30" s="303"/>
      <c r="G30" s="304"/>
      <c r="H30" s="296" t="str">
        <f t="shared" si="15"/>
        <v/>
      </c>
      <c r="I30" s="297">
        <f t="shared" si="10"/>
        <v>0</v>
      </c>
      <c r="J30" s="297">
        <f t="shared" si="11"/>
        <v>0</v>
      </c>
      <c r="K30" s="298">
        <f t="shared" si="6"/>
        <v>0</v>
      </c>
      <c r="L30" s="297">
        <f>IF(K30&gt;0,J30/K30,0)</f>
        <v>0</v>
      </c>
      <c r="M30" s="294"/>
      <c r="N30" s="297" t="str">
        <f t="shared" si="12"/>
        <v/>
      </c>
      <c r="O30" s="297" t="str">
        <f t="shared" si="13"/>
        <v/>
      </c>
      <c r="P30" s="356" t="str">
        <f t="shared" si="14"/>
        <v/>
      </c>
    </row>
    <row r="31" spans="1:16" ht="4.5" customHeight="1" x14ac:dyDescent="0.3">
      <c r="A31" s="14"/>
      <c r="B31" s="15"/>
      <c r="C31" s="24"/>
      <c r="D31" s="24"/>
      <c r="E31" s="25"/>
      <c r="F31" s="26"/>
      <c r="G31" s="17"/>
      <c r="H31" s="170"/>
      <c r="I31" s="171"/>
      <c r="J31" s="171"/>
      <c r="K31" s="172"/>
      <c r="L31" s="171"/>
      <c r="M31" s="294"/>
      <c r="N31" s="295"/>
      <c r="O31" s="53"/>
      <c r="P31" s="54"/>
    </row>
    <row r="32" spans="1:16" x14ac:dyDescent="0.3">
      <c r="A32" s="14"/>
      <c r="B32" s="15"/>
      <c r="C32" s="24"/>
      <c r="D32" s="24"/>
      <c r="E32" s="25"/>
      <c r="F32" s="26"/>
      <c r="G32" s="17"/>
      <c r="H32" s="17"/>
      <c r="I32" s="17"/>
      <c r="J32" s="17"/>
      <c r="K32" s="23"/>
      <c r="L32" s="17"/>
      <c r="M32" s="294"/>
      <c r="N32" s="55" t="s">
        <v>33</v>
      </c>
      <c r="O32" s="56"/>
      <c r="P32" s="57"/>
    </row>
    <row r="33" spans="1:21" s="4" customFormat="1" x14ac:dyDescent="0.3">
      <c r="A33" s="14"/>
      <c r="B33" s="15"/>
      <c r="C33" s="24"/>
      <c r="D33" s="24"/>
      <c r="E33" s="25"/>
      <c r="F33" s="26"/>
      <c r="G33" s="27"/>
      <c r="H33" s="28"/>
      <c r="I33" s="27"/>
      <c r="J33" s="27"/>
      <c r="K33" s="24"/>
      <c r="L33" s="27"/>
      <c r="M33" s="15"/>
      <c r="N33" s="58" t="s">
        <v>31</v>
      </c>
      <c r="O33" s="59" t="s">
        <v>32</v>
      </c>
      <c r="P33" s="60" t="s">
        <v>55</v>
      </c>
    </row>
    <row r="34" spans="1:21" s="4" customFormat="1" x14ac:dyDescent="0.3">
      <c r="A34" s="183">
        <v>39623</v>
      </c>
      <c r="B34" s="401" t="s">
        <v>75</v>
      </c>
      <c r="C34" s="24"/>
      <c r="D34" s="24"/>
      <c r="E34" s="25"/>
      <c r="F34" s="26"/>
      <c r="G34" s="27"/>
      <c r="H34" s="28"/>
      <c r="I34" s="15"/>
      <c r="J34" s="28">
        <f>ROUND(J30*5.49/8.42,2)</f>
        <v>0</v>
      </c>
      <c r="K34" s="182">
        <f>K30</f>
        <v>0</v>
      </c>
      <c r="L34" s="19">
        <f>IF(K34&gt;0,J34/K34,0)</f>
        <v>0</v>
      </c>
      <c r="M34" s="15"/>
      <c r="N34" s="61">
        <f>K34</f>
        <v>0</v>
      </c>
      <c r="O34" s="62">
        <f>L30-L34</f>
        <v>0</v>
      </c>
      <c r="P34" s="63">
        <f>J30-J34</f>
        <v>0</v>
      </c>
    </row>
    <row r="35" spans="1:21" s="4" customFormat="1" ht="15" thickBot="1" x14ac:dyDescent="0.35">
      <c r="A35" s="14"/>
      <c r="B35" s="29" t="s">
        <v>37</v>
      </c>
      <c r="C35" s="24"/>
      <c r="D35" s="24"/>
      <c r="E35" s="25"/>
      <c r="F35" s="26"/>
      <c r="G35" s="27"/>
      <c r="H35" s="28"/>
      <c r="I35" s="27"/>
      <c r="J35" s="27"/>
      <c r="K35" s="24"/>
      <c r="L35" s="27"/>
      <c r="M35" s="15"/>
      <c r="N35" s="294"/>
      <c r="O35" s="294"/>
      <c r="P35" s="10"/>
      <c r="R35"/>
      <c r="S35"/>
      <c r="T35"/>
      <c r="U35"/>
    </row>
    <row r="36" spans="1:21" s="4" customFormat="1" x14ac:dyDescent="0.3">
      <c r="A36" s="181" t="s">
        <v>238</v>
      </c>
      <c r="B36" s="47"/>
      <c r="C36" s="47" t="s">
        <v>12</v>
      </c>
      <c r="D36" s="47" t="s">
        <v>12</v>
      </c>
      <c r="E36" s="47" t="s">
        <v>9</v>
      </c>
      <c r="F36" s="47" t="s">
        <v>9</v>
      </c>
      <c r="G36" s="47" t="s">
        <v>10</v>
      </c>
      <c r="H36" s="47" t="s">
        <v>11</v>
      </c>
      <c r="I36" s="47" t="s">
        <v>11</v>
      </c>
      <c r="J36" s="47" t="s">
        <v>11</v>
      </c>
      <c r="K36" s="47"/>
      <c r="L36" s="48" t="s">
        <v>11</v>
      </c>
      <c r="M36" s="15"/>
      <c r="N36" s="173" t="s">
        <v>136</v>
      </c>
      <c r="O36" s="82"/>
      <c r="P36" s="76"/>
      <c r="R36"/>
      <c r="S36"/>
      <c r="T36"/>
      <c r="U36"/>
    </row>
    <row r="37" spans="1:21" s="4" customFormat="1" ht="15" thickBot="1" x14ac:dyDescent="0.35">
      <c r="A37" s="49" t="s">
        <v>0</v>
      </c>
      <c r="B37" s="50" t="s">
        <v>1</v>
      </c>
      <c r="C37" s="50" t="s">
        <v>53</v>
      </c>
      <c r="D37" s="50" t="s">
        <v>52</v>
      </c>
      <c r="E37" s="50" t="s">
        <v>3</v>
      </c>
      <c r="F37" s="50" t="s">
        <v>58</v>
      </c>
      <c r="G37" s="50" t="s">
        <v>5</v>
      </c>
      <c r="H37" s="50" t="s">
        <v>4</v>
      </c>
      <c r="I37" s="50" t="s">
        <v>55</v>
      </c>
      <c r="J37" s="50" t="s">
        <v>6</v>
      </c>
      <c r="K37" s="50" t="s">
        <v>8</v>
      </c>
      <c r="L37" s="51" t="s">
        <v>7</v>
      </c>
      <c r="M37" s="15"/>
      <c r="N37" s="187" t="s">
        <v>127</v>
      </c>
      <c r="O37" s="174" t="s">
        <v>128</v>
      </c>
      <c r="P37" s="175" t="s">
        <v>133</v>
      </c>
      <c r="R37"/>
      <c r="S37"/>
      <c r="T37"/>
      <c r="U37"/>
    </row>
    <row r="38" spans="1:21" x14ac:dyDescent="0.3">
      <c r="A38" s="299"/>
      <c r="B38" s="300"/>
      <c r="C38" s="301"/>
      <c r="D38" s="302"/>
      <c r="E38" s="303"/>
      <c r="F38" s="303"/>
      <c r="G38" s="304"/>
      <c r="H38" s="296" t="str">
        <f>IF(C38&gt;0,F38*G38,IF(D38&gt;0,E38*G38,""))</f>
        <v/>
      </c>
      <c r="I38" s="297">
        <f>IF(C38&gt;0,C38*H38,IF(D38&gt;0,-D38*L34,0))</f>
        <v>0</v>
      </c>
      <c r="J38" s="297">
        <f>J34+I38</f>
        <v>0</v>
      </c>
      <c r="K38" s="298">
        <f>C38+K34-D38</f>
        <v>0</v>
      </c>
      <c r="L38" s="297">
        <f>IF(K38&gt;0,J38/K38,0)</f>
        <v>0</v>
      </c>
      <c r="M38" s="294"/>
      <c r="N38" s="297" t="str">
        <f>IF(D38&gt;0,H38*D38,"")</f>
        <v/>
      </c>
      <c r="O38" s="297" t="str">
        <f>IF(D38&gt;0,I38,"")</f>
        <v/>
      </c>
      <c r="P38" s="356" t="str">
        <f>IF(D38&gt;0,N38+O38,"")</f>
        <v/>
      </c>
    </row>
    <row r="39" spans="1:21" x14ac:dyDescent="0.3">
      <c r="A39" s="299"/>
      <c r="B39" s="300"/>
      <c r="C39" s="301"/>
      <c r="D39" s="302"/>
      <c r="E39" s="303"/>
      <c r="F39" s="303"/>
      <c r="G39" s="304"/>
      <c r="H39" s="296" t="str">
        <f t="shared" ref="H39" si="16">IF(C39&gt;0,F39*G39,IF(D39&gt;0,E39*G39,""))</f>
        <v/>
      </c>
      <c r="I39" s="297">
        <f>IF(C39&gt;0,C39*H39,IF(D39&gt;0,-D39*L38,0))</f>
        <v>0</v>
      </c>
      <c r="J39" s="297">
        <f t="shared" ref="J39" si="17">J38+I39</f>
        <v>0</v>
      </c>
      <c r="K39" s="298">
        <f t="shared" ref="K39" si="18">C39+K38-D39</f>
        <v>0</v>
      </c>
      <c r="L39" s="297">
        <f t="shared" ref="L39:L50" si="19">IF(K39&gt;0,J39/K39,0)</f>
        <v>0</v>
      </c>
      <c r="M39" s="294"/>
      <c r="N39" s="297" t="str">
        <f t="shared" ref="N39:N42" si="20">IF(D39&gt;0,H39*D39,"")</f>
        <v/>
      </c>
      <c r="O39" s="297" t="str">
        <f t="shared" ref="O39:O42" si="21">IF(D39&gt;0,I39,"")</f>
        <v/>
      </c>
      <c r="P39" s="356" t="str">
        <f t="shared" ref="P39:P41" si="22">IF(D39&gt;0,N39+O39,"")</f>
        <v/>
      </c>
    </row>
    <row r="40" spans="1:21" x14ac:dyDescent="0.3">
      <c r="A40" s="299"/>
      <c r="B40" s="300"/>
      <c r="C40" s="301"/>
      <c r="D40" s="302"/>
      <c r="E40" s="303"/>
      <c r="F40" s="303"/>
      <c r="G40" s="304"/>
      <c r="H40" s="296" t="str">
        <f>IF(C40&gt;0,F40*G40,IF(D40&gt;0,E40*G40,""))</f>
        <v/>
      </c>
      <c r="I40" s="297">
        <f>IF(C40&gt;0,C40*H40,IF(D40&gt;0,-D40*L39,0))</f>
        <v>0</v>
      </c>
      <c r="J40" s="297">
        <f>J39+I40</f>
        <v>0</v>
      </c>
      <c r="K40" s="298">
        <f>C40+K39-D40</f>
        <v>0</v>
      </c>
      <c r="L40" s="297">
        <f t="shared" si="19"/>
        <v>0</v>
      </c>
      <c r="M40" s="294"/>
      <c r="N40" s="297" t="str">
        <f t="shared" si="20"/>
        <v/>
      </c>
      <c r="O40" s="297" t="str">
        <f t="shared" si="21"/>
        <v/>
      </c>
      <c r="P40" s="356" t="str">
        <f>IF(D40&gt;0,N40+O40,"")</f>
        <v/>
      </c>
    </row>
    <row r="41" spans="1:21" x14ac:dyDescent="0.3">
      <c r="A41" s="299"/>
      <c r="B41" s="300"/>
      <c r="C41" s="301"/>
      <c r="D41" s="302"/>
      <c r="E41" s="303"/>
      <c r="F41" s="303"/>
      <c r="G41" s="304"/>
      <c r="H41" s="296" t="str">
        <f>IF(C41&gt;0,F41*G41,IF(D41&gt;0,E41*G41,""))</f>
        <v/>
      </c>
      <c r="I41" s="297">
        <f t="shared" ref="I41:I50" si="23">IF(C41&gt;0,C41*H41,IF(D41&gt;0,-D41*L40,0))</f>
        <v>0</v>
      </c>
      <c r="J41" s="297">
        <f>J40+I41</f>
        <v>0</v>
      </c>
      <c r="K41" s="298">
        <f>C41+K40-D41</f>
        <v>0</v>
      </c>
      <c r="L41" s="297">
        <f t="shared" si="19"/>
        <v>0</v>
      </c>
      <c r="M41" s="294"/>
      <c r="N41" s="297" t="str">
        <f t="shared" si="20"/>
        <v/>
      </c>
      <c r="O41" s="297" t="str">
        <f t="shared" si="21"/>
        <v/>
      </c>
      <c r="P41" s="356" t="str">
        <f t="shared" si="22"/>
        <v/>
      </c>
    </row>
    <row r="42" spans="1:21" x14ac:dyDescent="0.3">
      <c r="A42" s="299"/>
      <c r="B42" s="300"/>
      <c r="C42" s="301"/>
      <c r="D42" s="302"/>
      <c r="E42" s="303"/>
      <c r="F42" s="303"/>
      <c r="G42" s="304"/>
      <c r="H42" s="296" t="str">
        <f>IF(C42&gt;0,F42*G42,IF(D42&gt;0,E42*G42,""))</f>
        <v/>
      </c>
      <c r="I42" s="297">
        <f>IF(C42&gt;0,C42*H42,IF(D42&gt;0,-D42*L41,0))</f>
        <v>0</v>
      </c>
      <c r="J42" s="297">
        <f>J41+I42</f>
        <v>0</v>
      </c>
      <c r="K42" s="298">
        <f t="shared" ref="K42:K51" si="24">C42+K41-D42</f>
        <v>0</v>
      </c>
      <c r="L42" s="297">
        <f t="shared" si="19"/>
        <v>0</v>
      </c>
      <c r="M42" s="294"/>
      <c r="N42" s="297" t="str">
        <f t="shared" si="20"/>
        <v/>
      </c>
      <c r="O42" s="297" t="str">
        <f t="shared" si="21"/>
        <v/>
      </c>
      <c r="P42" s="356" t="str">
        <f>IF(D42&gt;0,N42+O42,"")</f>
        <v/>
      </c>
    </row>
    <row r="43" spans="1:21" x14ac:dyDescent="0.3">
      <c r="A43" s="299"/>
      <c r="B43" s="300"/>
      <c r="C43" s="301"/>
      <c r="D43" s="302"/>
      <c r="E43" s="303"/>
      <c r="F43" s="303"/>
      <c r="G43" s="304"/>
      <c r="H43" s="296" t="str">
        <f t="shared" ref="H43:H50" si="25">IF(C43&gt;0,F43*G43,IF(D43&gt;0,E43*G43,""))</f>
        <v/>
      </c>
      <c r="I43" s="297">
        <f t="shared" si="23"/>
        <v>0</v>
      </c>
      <c r="J43" s="297">
        <f t="shared" ref="J43:J51" si="26">J42+I43</f>
        <v>0</v>
      </c>
      <c r="K43" s="298">
        <f t="shared" si="24"/>
        <v>0</v>
      </c>
      <c r="L43" s="297">
        <f t="shared" si="19"/>
        <v>0</v>
      </c>
      <c r="M43" s="294"/>
      <c r="N43" s="297" t="str">
        <f t="shared" ref="N43:N50" si="27">IF(D43&gt;0,H43*D43,"")</f>
        <v/>
      </c>
      <c r="O43" s="297" t="str">
        <f t="shared" ref="O43:O51" si="28">IF(D43&gt;0,I43,"")</f>
        <v/>
      </c>
      <c r="P43" s="356" t="str">
        <f t="shared" ref="P43:P51" si="29">IF(D43&gt;0,N43+O43,"")</f>
        <v/>
      </c>
    </row>
    <row r="44" spans="1:21" x14ac:dyDescent="0.3">
      <c r="A44" s="299"/>
      <c r="B44" s="300"/>
      <c r="C44" s="301"/>
      <c r="D44" s="302"/>
      <c r="E44" s="303"/>
      <c r="F44" s="303"/>
      <c r="G44" s="304"/>
      <c r="H44" s="296" t="str">
        <f t="shared" si="25"/>
        <v/>
      </c>
      <c r="I44" s="297">
        <f t="shared" si="23"/>
        <v>0</v>
      </c>
      <c r="J44" s="297">
        <f t="shared" si="26"/>
        <v>0</v>
      </c>
      <c r="K44" s="298">
        <f t="shared" si="24"/>
        <v>0</v>
      </c>
      <c r="L44" s="297">
        <f t="shared" si="19"/>
        <v>0</v>
      </c>
      <c r="M44" s="294"/>
      <c r="N44" s="297" t="str">
        <f t="shared" si="27"/>
        <v/>
      </c>
      <c r="O44" s="297" t="str">
        <f t="shared" si="28"/>
        <v/>
      </c>
      <c r="P44" s="356" t="str">
        <f t="shared" si="29"/>
        <v/>
      </c>
    </row>
    <row r="45" spans="1:21" x14ac:dyDescent="0.3">
      <c r="A45" s="299"/>
      <c r="B45" s="370"/>
      <c r="C45" s="301"/>
      <c r="D45" s="301"/>
      <c r="E45" s="303"/>
      <c r="F45" s="303"/>
      <c r="G45" s="304"/>
      <c r="H45" s="296" t="str">
        <f t="shared" si="25"/>
        <v/>
      </c>
      <c r="I45" s="297">
        <f t="shared" si="23"/>
        <v>0</v>
      </c>
      <c r="J45" s="297">
        <f t="shared" si="26"/>
        <v>0</v>
      </c>
      <c r="K45" s="298">
        <f t="shared" si="24"/>
        <v>0</v>
      </c>
      <c r="L45" s="297">
        <f t="shared" si="19"/>
        <v>0</v>
      </c>
      <c r="M45" s="294"/>
      <c r="N45" s="297" t="str">
        <f t="shared" si="27"/>
        <v/>
      </c>
      <c r="O45" s="297" t="str">
        <f t="shared" si="28"/>
        <v/>
      </c>
      <c r="P45" s="356" t="str">
        <f t="shared" si="29"/>
        <v/>
      </c>
    </row>
    <row r="46" spans="1:21" x14ac:dyDescent="0.3">
      <c r="A46" s="299"/>
      <c r="B46" s="300"/>
      <c r="C46" s="301"/>
      <c r="D46" s="302"/>
      <c r="E46" s="303"/>
      <c r="F46" s="303"/>
      <c r="G46" s="304"/>
      <c r="H46" s="296" t="str">
        <f t="shared" si="25"/>
        <v/>
      </c>
      <c r="I46" s="297">
        <f t="shared" si="23"/>
        <v>0</v>
      </c>
      <c r="J46" s="297">
        <f t="shared" si="26"/>
        <v>0</v>
      </c>
      <c r="K46" s="298">
        <f t="shared" si="24"/>
        <v>0</v>
      </c>
      <c r="L46" s="297">
        <f t="shared" si="19"/>
        <v>0</v>
      </c>
      <c r="M46" s="294"/>
      <c r="N46" s="297" t="str">
        <f t="shared" si="27"/>
        <v/>
      </c>
      <c r="O46" s="297" t="str">
        <f t="shared" si="28"/>
        <v/>
      </c>
      <c r="P46" s="356" t="str">
        <f t="shared" si="29"/>
        <v/>
      </c>
    </row>
    <row r="47" spans="1:21" x14ac:dyDescent="0.3">
      <c r="A47" s="299"/>
      <c r="B47" s="370"/>
      <c r="C47" s="301"/>
      <c r="D47" s="301"/>
      <c r="E47" s="303"/>
      <c r="F47" s="303"/>
      <c r="G47" s="304"/>
      <c r="H47" s="296" t="str">
        <f t="shared" si="25"/>
        <v/>
      </c>
      <c r="I47" s="297">
        <f t="shared" si="23"/>
        <v>0</v>
      </c>
      <c r="J47" s="297">
        <f t="shared" si="26"/>
        <v>0</v>
      </c>
      <c r="K47" s="298">
        <f t="shared" si="24"/>
        <v>0</v>
      </c>
      <c r="L47" s="297">
        <f t="shared" si="19"/>
        <v>0</v>
      </c>
      <c r="M47" s="294"/>
      <c r="N47" s="297" t="str">
        <f t="shared" si="27"/>
        <v/>
      </c>
      <c r="O47" s="297" t="str">
        <f t="shared" si="28"/>
        <v/>
      </c>
      <c r="P47" s="356" t="str">
        <f t="shared" si="29"/>
        <v/>
      </c>
    </row>
    <row r="48" spans="1:21" x14ac:dyDescent="0.3">
      <c r="A48" s="299"/>
      <c r="B48" s="300"/>
      <c r="C48" s="301"/>
      <c r="D48" s="302"/>
      <c r="E48" s="303"/>
      <c r="F48" s="303"/>
      <c r="G48" s="304"/>
      <c r="H48" s="296" t="str">
        <f t="shared" si="25"/>
        <v/>
      </c>
      <c r="I48" s="297">
        <f t="shared" si="23"/>
        <v>0</v>
      </c>
      <c r="J48" s="297">
        <f t="shared" si="26"/>
        <v>0</v>
      </c>
      <c r="K48" s="298">
        <f t="shared" si="24"/>
        <v>0</v>
      </c>
      <c r="L48" s="297">
        <f t="shared" si="19"/>
        <v>0</v>
      </c>
      <c r="M48" s="294"/>
      <c r="N48" s="297" t="str">
        <f>IF(D48&gt;0,H48*D48,"")</f>
        <v/>
      </c>
      <c r="O48" s="297" t="str">
        <f t="shared" si="28"/>
        <v/>
      </c>
      <c r="P48" s="356" t="str">
        <f t="shared" si="29"/>
        <v/>
      </c>
    </row>
    <row r="49" spans="1:31" x14ac:dyDescent="0.3">
      <c r="A49" s="357"/>
      <c r="B49" s="361"/>
      <c r="C49" s="358"/>
      <c r="D49" s="362"/>
      <c r="E49" s="359"/>
      <c r="F49" s="359"/>
      <c r="G49" s="360"/>
      <c r="H49" s="296" t="str">
        <f t="shared" si="25"/>
        <v/>
      </c>
      <c r="I49" s="297">
        <f t="shared" si="23"/>
        <v>0</v>
      </c>
      <c r="J49" s="297">
        <f t="shared" si="26"/>
        <v>0</v>
      </c>
      <c r="K49" s="298">
        <f t="shared" si="24"/>
        <v>0</v>
      </c>
      <c r="L49" s="297">
        <f t="shared" si="19"/>
        <v>0</v>
      </c>
      <c r="M49" s="294"/>
      <c r="N49" s="297" t="str">
        <f t="shared" si="27"/>
        <v/>
      </c>
      <c r="O49" s="297" t="str">
        <f t="shared" si="28"/>
        <v/>
      </c>
      <c r="P49" s="356" t="str">
        <f t="shared" si="29"/>
        <v/>
      </c>
    </row>
    <row r="50" spans="1:31" x14ac:dyDescent="0.3">
      <c r="A50" s="357"/>
      <c r="B50" s="361"/>
      <c r="C50" s="358"/>
      <c r="D50" s="362"/>
      <c r="E50" s="359"/>
      <c r="F50" s="359"/>
      <c r="G50" s="360"/>
      <c r="H50" s="296" t="str">
        <f t="shared" si="25"/>
        <v/>
      </c>
      <c r="I50" s="297">
        <f t="shared" si="23"/>
        <v>0</v>
      </c>
      <c r="J50" s="297">
        <f t="shared" si="26"/>
        <v>0</v>
      </c>
      <c r="K50" s="298">
        <f t="shared" si="24"/>
        <v>0</v>
      </c>
      <c r="L50" s="297">
        <f t="shared" si="19"/>
        <v>0</v>
      </c>
      <c r="M50" s="294"/>
      <c r="N50" s="297" t="str">
        <f t="shared" si="27"/>
        <v/>
      </c>
      <c r="O50" s="297" t="str">
        <f t="shared" si="28"/>
        <v/>
      </c>
      <c r="P50" s="356" t="str">
        <f t="shared" si="29"/>
        <v/>
      </c>
    </row>
    <row r="51" spans="1:31" x14ac:dyDescent="0.3">
      <c r="A51" s="357"/>
      <c r="B51" s="361"/>
      <c r="C51" s="358"/>
      <c r="D51" s="362"/>
      <c r="E51" s="359"/>
      <c r="F51" s="359"/>
      <c r="G51" s="360"/>
      <c r="H51" s="296" t="str">
        <f>IF(C51&gt;0,F51*G51,IF(D51&gt;0,E51*G51,""))</f>
        <v/>
      </c>
      <c r="I51" s="297">
        <f>IF(C51&gt;0,C51*H51,IF(D51&gt;0,-D51*L50,0))</f>
        <v>0</v>
      </c>
      <c r="J51" s="297">
        <f t="shared" si="26"/>
        <v>0</v>
      </c>
      <c r="K51" s="298">
        <f t="shared" si="24"/>
        <v>0</v>
      </c>
      <c r="L51" s="297">
        <f>IF(K51&gt;0,J51/K51,0)</f>
        <v>0</v>
      </c>
      <c r="M51" s="294"/>
      <c r="N51" s="297" t="str">
        <f>IF(D51&gt;0,H51*D51,"")</f>
        <v/>
      </c>
      <c r="O51" s="297" t="str">
        <f t="shared" si="28"/>
        <v/>
      </c>
      <c r="P51" s="356" t="str">
        <f t="shared" si="29"/>
        <v/>
      </c>
    </row>
    <row r="52" spans="1:31" ht="6.75" customHeight="1" x14ac:dyDescent="0.3">
      <c r="A52" s="14"/>
      <c r="B52" s="15"/>
      <c r="C52" s="24"/>
      <c r="D52" s="24"/>
      <c r="E52" s="25"/>
      <c r="F52" s="26"/>
      <c r="G52" s="17"/>
      <c r="H52" s="170"/>
      <c r="I52" s="171"/>
      <c r="J52" s="171"/>
      <c r="K52" s="172"/>
      <c r="L52" s="171"/>
      <c r="M52" s="294"/>
      <c r="N52" s="171"/>
      <c r="O52" s="171"/>
      <c r="P52" s="186"/>
    </row>
    <row r="53" spans="1:31" x14ac:dyDescent="0.3">
      <c r="A53" s="14"/>
      <c r="B53" s="15"/>
      <c r="C53" s="24"/>
      <c r="D53" s="24"/>
      <c r="E53" s="25"/>
      <c r="F53" s="26"/>
      <c r="G53" s="17"/>
      <c r="H53" s="17"/>
      <c r="I53" s="17"/>
      <c r="J53" s="17"/>
      <c r="K53" s="23"/>
      <c r="L53" s="17"/>
      <c r="M53" s="294"/>
      <c r="N53" s="36" t="s">
        <v>38</v>
      </c>
      <c r="O53" s="37"/>
      <c r="P53" s="38"/>
    </row>
    <row r="54" spans="1:31" s="4" customFormat="1" x14ac:dyDescent="0.3">
      <c r="A54" s="14"/>
      <c r="B54" s="15"/>
      <c r="C54" s="24"/>
      <c r="D54" s="24"/>
      <c r="E54" s="25"/>
      <c r="F54" s="26"/>
      <c r="G54" s="27"/>
      <c r="H54" s="28"/>
      <c r="I54" s="27"/>
      <c r="J54" s="27"/>
      <c r="K54" s="24"/>
      <c r="L54" s="27"/>
      <c r="M54" s="15"/>
      <c r="N54" s="67" t="s">
        <v>31</v>
      </c>
      <c r="O54" s="68" t="s">
        <v>32</v>
      </c>
      <c r="P54" s="69" t="s">
        <v>55</v>
      </c>
    </row>
    <row r="55" spans="1:31" s="4" customFormat="1" x14ac:dyDescent="0.3">
      <c r="A55" s="183">
        <v>41615</v>
      </c>
      <c r="B55" s="401" t="s">
        <v>75</v>
      </c>
      <c r="C55" s="182"/>
      <c r="D55" s="182"/>
      <c r="E55" s="184"/>
      <c r="F55" s="185"/>
      <c r="G55" s="28"/>
      <c r="H55" s="28"/>
      <c r="I55" s="30"/>
      <c r="J55" s="28">
        <f>ROUND(J51*50%,2)</f>
        <v>0</v>
      </c>
      <c r="K55" s="182">
        <f>K51</f>
        <v>0</v>
      </c>
      <c r="L55" s="19">
        <f>IF(K55&gt;0,J55/K55,0)</f>
        <v>0</v>
      </c>
      <c r="M55" s="15"/>
      <c r="N55" s="39">
        <f>K55</f>
        <v>0</v>
      </c>
      <c r="O55" s="40">
        <f>L51-L55</f>
        <v>0</v>
      </c>
      <c r="P55" s="41">
        <f>J51-J55</f>
        <v>0</v>
      </c>
    </row>
    <row r="56" spans="1:31" s="4" customFormat="1" ht="15" thickBot="1" x14ac:dyDescent="0.35">
      <c r="A56" s="14"/>
      <c r="B56" s="29" t="s">
        <v>42</v>
      </c>
      <c r="C56" s="24"/>
      <c r="D56" s="24"/>
      <c r="E56" s="25"/>
      <c r="F56" s="26"/>
      <c r="G56" s="27"/>
      <c r="H56" s="28"/>
      <c r="I56" s="27"/>
      <c r="J56" s="27"/>
      <c r="K56" s="24"/>
      <c r="L56" s="27"/>
      <c r="M56" s="15"/>
      <c r="N56" s="30"/>
      <c r="O56" s="15"/>
      <c r="P56" s="31"/>
      <c r="R56" s="176" t="s">
        <v>124</v>
      </c>
      <c r="S56" s="176"/>
      <c r="T56" s="176"/>
      <c r="W56" s="176" t="s">
        <v>275</v>
      </c>
      <c r="X56" s="176"/>
      <c r="Y56" s="176"/>
      <c r="AA56"/>
      <c r="AB56" s="176" t="s">
        <v>276</v>
      </c>
      <c r="AC56" s="176"/>
      <c r="AD56" s="176"/>
    </row>
    <row r="57" spans="1:31" s="4" customFormat="1" ht="15.6" x14ac:dyDescent="0.3">
      <c r="A57" s="292" t="s">
        <v>135</v>
      </c>
      <c r="B57" s="47"/>
      <c r="C57" s="47" t="s">
        <v>12</v>
      </c>
      <c r="D57" s="47" t="s">
        <v>12</v>
      </c>
      <c r="E57" s="47" t="s">
        <v>9</v>
      </c>
      <c r="F57" s="47" t="s">
        <v>9</v>
      </c>
      <c r="G57" s="47" t="s">
        <v>10</v>
      </c>
      <c r="H57" s="47" t="s">
        <v>11</v>
      </c>
      <c r="I57" s="47" t="s">
        <v>11</v>
      </c>
      <c r="J57" s="47" t="s">
        <v>11</v>
      </c>
      <c r="K57" s="47"/>
      <c r="L57" s="48" t="s">
        <v>11</v>
      </c>
      <c r="M57" s="15"/>
      <c r="N57" s="371" t="s">
        <v>323</v>
      </c>
      <c r="O57" s="372"/>
      <c r="P57" s="373"/>
      <c r="R57" s="176" t="s">
        <v>125</v>
      </c>
      <c r="S57" s="176" t="s">
        <v>126</v>
      </c>
      <c r="T57" s="4" t="s">
        <v>131</v>
      </c>
      <c r="U57" s="176" t="s">
        <v>129</v>
      </c>
      <c r="W57" s="176" t="s">
        <v>125</v>
      </c>
      <c r="X57" s="176" t="s">
        <v>126</v>
      </c>
      <c r="Y57" s="4" t="s">
        <v>131</v>
      </c>
      <c r="Z57" s="176" t="s">
        <v>129</v>
      </c>
      <c r="AA57"/>
      <c r="AB57" s="176" t="s">
        <v>125</v>
      </c>
      <c r="AC57" s="176" t="s">
        <v>126</v>
      </c>
      <c r="AD57" s="4" t="s">
        <v>131</v>
      </c>
      <c r="AE57" s="176" t="s">
        <v>129</v>
      </c>
    </row>
    <row r="58" spans="1:31" s="4" customFormat="1" ht="15" thickBot="1" x14ac:dyDescent="0.35">
      <c r="A58" s="49" t="s">
        <v>0</v>
      </c>
      <c r="B58" s="50" t="s">
        <v>1</v>
      </c>
      <c r="C58" s="50" t="s">
        <v>53</v>
      </c>
      <c r="D58" s="50" t="s">
        <v>52</v>
      </c>
      <c r="E58" s="50" t="s">
        <v>3</v>
      </c>
      <c r="F58" s="50" t="s">
        <v>58</v>
      </c>
      <c r="G58" s="50" t="s">
        <v>5</v>
      </c>
      <c r="H58" s="50" t="s">
        <v>4</v>
      </c>
      <c r="I58" s="50" t="s">
        <v>55</v>
      </c>
      <c r="J58" s="50" t="s">
        <v>6</v>
      </c>
      <c r="K58" s="50" t="s">
        <v>8</v>
      </c>
      <c r="L58" s="51" t="s">
        <v>7</v>
      </c>
      <c r="M58" s="15"/>
      <c r="N58" s="374" t="s">
        <v>127</v>
      </c>
      <c r="O58" s="375" t="s">
        <v>128</v>
      </c>
      <c r="P58" s="376" t="s">
        <v>133</v>
      </c>
      <c r="R58" s="177">
        <v>41274</v>
      </c>
      <c r="S58" s="177">
        <v>41640</v>
      </c>
      <c r="T58" s="4" t="s">
        <v>132</v>
      </c>
      <c r="U58" s="178" t="s">
        <v>130</v>
      </c>
      <c r="W58" s="177">
        <v>41639</v>
      </c>
      <c r="X58" s="177">
        <v>42005</v>
      </c>
      <c r="Y58" s="4" t="s">
        <v>132</v>
      </c>
      <c r="Z58" s="178" t="s">
        <v>130</v>
      </c>
      <c r="AA58"/>
      <c r="AB58" s="177">
        <v>42004</v>
      </c>
      <c r="AC58" s="177">
        <v>42370</v>
      </c>
      <c r="AD58" s="4" t="s">
        <v>132</v>
      </c>
      <c r="AE58" s="178" t="s">
        <v>130</v>
      </c>
    </row>
    <row r="59" spans="1:31" x14ac:dyDescent="0.3">
      <c r="A59" s="299"/>
      <c r="B59" s="300"/>
      <c r="C59" s="301"/>
      <c r="D59" s="302"/>
      <c r="E59" s="303"/>
      <c r="F59" s="303"/>
      <c r="G59" s="304"/>
      <c r="H59" s="296" t="str">
        <f>IF(C59&gt;0,F59*G59,IF(D59&gt;0,E59*G59,""))</f>
        <v/>
      </c>
      <c r="I59" s="297">
        <f>IF(C59&gt;0,C59*H59,IF(D59&gt;0,-D59*L55,0))</f>
        <v>0</v>
      </c>
      <c r="J59" s="297">
        <f>J55+I59</f>
        <v>0</v>
      </c>
      <c r="K59" s="298">
        <f>C59+K55-D59</f>
        <v>0</v>
      </c>
      <c r="L59" s="297">
        <f>IF(K59&gt;0,J59/K59,0)</f>
        <v>0</v>
      </c>
      <c r="M59" s="294"/>
      <c r="N59" s="297" t="str">
        <f>IF(D59&gt;0,H59*D59,"")</f>
        <v/>
      </c>
      <c r="O59" s="297" t="str">
        <f>IF(D59&gt;0,I59,"")</f>
        <v/>
      </c>
      <c r="P59" s="356" t="str">
        <f>IF(D59&gt;0,N59+O59,"")</f>
        <v/>
      </c>
      <c r="R59">
        <f>IF($A59&gt;$R$58,1,0)</f>
        <v>0</v>
      </c>
      <c r="S59">
        <f>IF($A59&lt;$S$58,1,0)</f>
        <v>1</v>
      </c>
      <c r="T59">
        <f>IF(D59&gt;0,1,0)</f>
        <v>0</v>
      </c>
      <c r="U59" s="179" t="str">
        <f>IF(SUM(R59:T59)=3,3,"")</f>
        <v/>
      </c>
      <c r="W59">
        <f>IF(A59&gt;$W$58,1,0)</f>
        <v>0</v>
      </c>
      <c r="X59">
        <f>IF(A59&lt;$X$58,1,0)</f>
        <v>1</v>
      </c>
      <c r="Y59">
        <f>IF(D59&gt;0,1,0)</f>
        <v>0</v>
      </c>
      <c r="Z59" s="179" t="str">
        <f>IF(SUM(W59:Y59)=3,3,"")</f>
        <v/>
      </c>
      <c r="AB59">
        <f>IF(A59&gt;$AB$58,1,0)</f>
        <v>0</v>
      </c>
      <c r="AC59">
        <f>IF(A59&lt;$AC$58,1,0)</f>
        <v>1</v>
      </c>
      <c r="AD59">
        <f>IF(D59&gt;0,1,0)</f>
        <v>0</v>
      </c>
      <c r="AE59" s="179" t="str">
        <f>IF(SUM(AB59:AD59)=3,3,"")</f>
        <v/>
      </c>
    </row>
    <row r="60" spans="1:31" x14ac:dyDescent="0.3">
      <c r="A60" s="299"/>
      <c r="B60" s="300"/>
      <c r="C60" s="301"/>
      <c r="D60" s="302"/>
      <c r="E60" s="303"/>
      <c r="F60" s="303"/>
      <c r="G60" s="304"/>
      <c r="H60" s="296" t="str">
        <f t="shared" ref="H60" si="30">IF(C60&gt;0,F60*G60,IF(D60&gt;0,E60*G60,""))</f>
        <v/>
      </c>
      <c r="I60" s="297">
        <f t="shared" ref="I60:I65" si="31">IF(C60&gt;0,C60*H60,IF(D60&gt;0,-D60*L59,0))</f>
        <v>0</v>
      </c>
      <c r="J60" s="297">
        <f t="shared" ref="J60:J62" si="32">J59+I60</f>
        <v>0</v>
      </c>
      <c r="K60" s="298">
        <f>C60+K59-D60</f>
        <v>0</v>
      </c>
      <c r="L60" s="297">
        <f t="shared" ref="L60:L77" si="33">IF(K60&gt;0,J60/K60,0)</f>
        <v>0</v>
      </c>
      <c r="M60" s="294"/>
      <c r="N60" s="297" t="str">
        <f t="shared" ref="N60:N77" si="34">IF(D60&gt;0,H60*D60,"")</f>
        <v/>
      </c>
      <c r="O60" s="297" t="str">
        <f t="shared" ref="O60:O77" si="35">IF(D60&gt;0,I60,"")</f>
        <v/>
      </c>
      <c r="P60" s="356" t="str">
        <f t="shared" ref="P60:P77" si="36">IF(D60&gt;0,N60+O60,"")</f>
        <v/>
      </c>
      <c r="R60" s="293">
        <f t="shared" ref="R60:R78" si="37">IF($A60&gt;$R$58,1,0)</f>
        <v>0</v>
      </c>
      <c r="S60" s="293">
        <f t="shared" ref="S60:S78" si="38">IF($A60&lt;$S$58,1,0)</f>
        <v>1</v>
      </c>
      <c r="T60" s="293">
        <f t="shared" ref="T60:T78" si="39">IF(D60&gt;0,1,0)</f>
        <v>0</v>
      </c>
      <c r="U60" s="355" t="str">
        <f t="shared" ref="U60:U78" si="40">IF(SUM(R60:T60)=3,3,"")</f>
        <v/>
      </c>
      <c r="W60" s="293">
        <f t="shared" ref="W60:W78" si="41">IF(A60&gt;$W$58,1,0)</f>
        <v>0</v>
      </c>
      <c r="X60" s="293">
        <f t="shared" ref="X60:X78" si="42">IF(A60&lt;$X$58,1,0)</f>
        <v>1</v>
      </c>
      <c r="Y60" s="293">
        <f t="shared" ref="Y60:Y78" si="43">IF(D60&gt;0,1,0)</f>
        <v>0</v>
      </c>
      <c r="Z60" s="355" t="str">
        <f t="shared" ref="Z60:Z78" si="44">IF(SUM(W60:Y60)=3,3,"")</f>
        <v/>
      </c>
      <c r="AB60" s="293">
        <f t="shared" ref="AB60:AB78" si="45">IF(A60&gt;$AB$58,1,0)</f>
        <v>0</v>
      </c>
      <c r="AC60" s="293">
        <f t="shared" ref="AC60:AC78" si="46">IF(A60&lt;$AC$58,1,0)</f>
        <v>1</v>
      </c>
      <c r="AD60" s="293">
        <f t="shared" ref="AD60:AD78" si="47">IF(D60&gt;0,1,0)</f>
        <v>0</v>
      </c>
      <c r="AE60" s="355" t="str">
        <f t="shared" ref="AE60:AE78" si="48">IF(SUM(AB60:AD60)=3,3,"")</f>
        <v/>
      </c>
    </row>
    <row r="61" spans="1:31" x14ac:dyDescent="0.3">
      <c r="A61" s="299"/>
      <c r="B61" s="300"/>
      <c r="C61" s="301"/>
      <c r="D61" s="302"/>
      <c r="E61" s="303"/>
      <c r="F61" s="303"/>
      <c r="G61" s="304"/>
      <c r="H61" s="296" t="str">
        <f t="shared" ref="H61:H64" si="49">IF(C61&gt;0,F61*G61,IF(D61&gt;0,E61*G61,""))</f>
        <v/>
      </c>
      <c r="I61" s="297">
        <f t="shared" si="31"/>
        <v>0</v>
      </c>
      <c r="J61" s="297">
        <f t="shared" si="32"/>
        <v>0</v>
      </c>
      <c r="K61" s="298">
        <f>C61+K60-D61</f>
        <v>0</v>
      </c>
      <c r="L61" s="297">
        <f t="shared" si="33"/>
        <v>0</v>
      </c>
      <c r="M61" s="294"/>
      <c r="N61" s="297" t="str">
        <f t="shared" si="34"/>
        <v/>
      </c>
      <c r="O61" s="297" t="str">
        <f t="shared" si="35"/>
        <v/>
      </c>
      <c r="P61" s="356" t="str">
        <f t="shared" si="36"/>
        <v/>
      </c>
      <c r="R61" s="293">
        <f t="shared" si="37"/>
        <v>0</v>
      </c>
      <c r="S61" s="293">
        <f t="shared" si="38"/>
        <v>1</v>
      </c>
      <c r="T61" s="293">
        <f t="shared" si="39"/>
        <v>0</v>
      </c>
      <c r="U61" s="355" t="str">
        <f t="shared" si="40"/>
        <v/>
      </c>
      <c r="W61" s="293">
        <f t="shared" si="41"/>
        <v>0</v>
      </c>
      <c r="X61" s="293">
        <f t="shared" si="42"/>
        <v>1</v>
      </c>
      <c r="Y61" s="293">
        <f t="shared" si="43"/>
        <v>0</v>
      </c>
      <c r="Z61" s="355" t="str">
        <f t="shared" si="44"/>
        <v/>
      </c>
      <c r="AB61" s="293">
        <f t="shared" si="45"/>
        <v>0</v>
      </c>
      <c r="AC61" s="293">
        <f t="shared" si="46"/>
        <v>1</v>
      </c>
      <c r="AD61" s="293">
        <f t="shared" si="47"/>
        <v>0</v>
      </c>
      <c r="AE61" s="355" t="str">
        <f t="shared" si="48"/>
        <v/>
      </c>
    </row>
    <row r="62" spans="1:31" x14ac:dyDescent="0.3">
      <c r="A62" s="299"/>
      <c r="B62" s="300"/>
      <c r="C62" s="301"/>
      <c r="D62" s="302"/>
      <c r="E62" s="303"/>
      <c r="F62" s="303"/>
      <c r="G62" s="304"/>
      <c r="H62" s="296" t="str">
        <f t="shared" si="49"/>
        <v/>
      </c>
      <c r="I62" s="297">
        <f t="shared" si="31"/>
        <v>0</v>
      </c>
      <c r="J62" s="297">
        <f t="shared" si="32"/>
        <v>0</v>
      </c>
      <c r="K62" s="298">
        <f t="shared" ref="K62:K64" si="50">C62+K61-D62</f>
        <v>0</v>
      </c>
      <c r="L62" s="297">
        <f t="shared" si="33"/>
        <v>0</v>
      </c>
      <c r="M62" s="294"/>
      <c r="N62" s="297" t="str">
        <f t="shared" si="34"/>
        <v/>
      </c>
      <c r="O62" s="297" t="str">
        <f t="shared" si="35"/>
        <v/>
      </c>
      <c r="P62" s="356" t="str">
        <f t="shared" si="36"/>
        <v/>
      </c>
      <c r="R62" s="293">
        <f t="shared" si="37"/>
        <v>0</v>
      </c>
      <c r="S62" s="293">
        <f t="shared" si="38"/>
        <v>1</v>
      </c>
      <c r="T62" s="293">
        <f t="shared" si="39"/>
        <v>0</v>
      </c>
      <c r="U62" s="355" t="str">
        <f t="shared" si="40"/>
        <v/>
      </c>
      <c r="W62" s="293">
        <f t="shared" si="41"/>
        <v>0</v>
      </c>
      <c r="X62" s="293">
        <f t="shared" si="42"/>
        <v>1</v>
      </c>
      <c r="Y62" s="293">
        <f t="shared" si="43"/>
        <v>0</v>
      </c>
      <c r="Z62" s="355" t="str">
        <f t="shared" si="44"/>
        <v/>
      </c>
      <c r="AB62" s="293">
        <f t="shared" si="45"/>
        <v>0</v>
      </c>
      <c r="AC62" s="293">
        <f t="shared" si="46"/>
        <v>1</v>
      </c>
      <c r="AD62" s="293">
        <f t="shared" si="47"/>
        <v>0</v>
      </c>
      <c r="AE62" s="355" t="str">
        <f t="shared" si="48"/>
        <v/>
      </c>
    </row>
    <row r="63" spans="1:31" x14ac:dyDescent="0.3">
      <c r="A63" s="299"/>
      <c r="B63" s="300"/>
      <c r="C63" s="301"/>
      <c r="D63" s="302"/>
      <c r="E63" s="303"/>
      <c r="F63" s="303"/>
      <c r="G63" s="304"/>
      <c r="H63" s="296" t="str">
        <f t="shared" si="49"/>
        <v/>
      </c>
      <c r="I63" s="297">
        <f>IF(C63&gt;0,C63*H63,IF(D63&gt;0,-D63*L62,0))</f>
        <v>0</v>
      </c>
      <c r="J63" s="297">
        <f>J62+I63</f>
        <v>0</v>
      </c>
      <c r="K63" s="298">
        <f t="shared" si="50"/>
        <v>0</v>
      </c>
      <c r="L63" s="297">
        <f t="shared" si="33"/>
        <v>0</v>
      </c>
      <c r="M63" s="294"/>
      <c r="N63" s="297" t="str">
        <f>IF(D63&gt;0,H63*D63,"")</f>
        <v/>
      </c>
      <c r="O63" s="297" t="str">
        <f>IF(D63&gt;0,I63,"")</f>
        <v/>
      </c>
      <c r="P63" s="356" t="str">
        <f t="shared" si="36"/>
        <v/>
      </c>
      <c r="R63" s="293">
        <f t="shared" si="37"/>
        <v>0</v>
      </c>
      <c r="S63" s="293">
        <f t="shared" si="38"/>
        <v>1</v>
      </c>
      <c r="T63" s="293">
        <f t="shared" si="39"/>
        <v>0</v>
      </c>
      <c r="U63" s="355" t="str">
        <f t="shared" si="40"/>
        <v/>
      </c>
      <c r="W63" s="293">
        <f t="shared" si="41"/>
        <v>0</v>
      </c>
      <c r="X63" s="293">
        <f t="shared" si="42"/>
        <v>1</v>
      </c>
      <c r="Y63" s="293">
        <f t="shared" si="43"/>
        <v>0</v>
      </c>
      <c r="Z63" s="355" t="str">
        <f t="shared" si="44"/>
        <v/>
      </c>
      <c r="AB63" s="293">
        <f t="shared" si="45"/>
        <v>0</v>
      </c>
      <c r="AC63" s="293">
        <f t="shared" si="46"/>
        <v>1</v>
      </c>
      <c r="AD63" s="293">
        <f t="shared" si="47"/>
        <v>0</v>
      </c>
      <c r="AE63" s="355" t="str">
        <f t="shared" si="48"/>
        <v/>
      </c>
    </row>
    <row r="64" spans="1:31" x14ac:dyDescent="0.3">
      <c r="A64" s="299"/>
      <c r="B64" s="300"/>
      <c r="C64" s="301"/>
      <c r="D64" s="302"/>
      <c r="E64" s="303"/>
      <c r="F64" s="303"/>
      <c r="G64" s="304"/>
      <c r="H64" s="296" t="str">
        <f t="shared" si="49"/>
        <v/>
      </c>
      <c r="I64" s="297">
        <f t="shared" si="31"/>
        <v>0</v>
      </c>
      <c r="J64" s="297">
        <f>J63+I64</f>
        <v>0</v>
      </c>
      <c r="K64" s="298">
        <f t="shared" si="50"/>
        <v>0</v>
      </c>
      <c r="L64" s="297">
        <f>IF(K64&gt;0,J64/K64,0)</f>
        <v>0</v>
      </c>
      <c r="M64" s="294"/>
      <c r="N64" s="297" t="str">
        <f t="shared" si="34"/>
        <v/>
      </c>
      <c r="O64" s="297" t="str">
        <f t="shared" si="35"/>
        <v/>
      </c>
      <c r="P64" s="356" t="str">
        <f t="shared" si="36"/>
        <v/>
      </c>
      <c r="R64" s="293">
        <f t="shared" si="37"/>
        <v>0</v>
      </c>
      <c r="S64" s="293">
        <f t="shared" si="38"/>
        <v>1</v>
      </c>
      <c r="T64" s="293">
        <f t="shared" si="39"/>
        <v>0</v>
      </c>
      <c r="U64" s="355" t="str">
        <f t="shared" si="40"/>
        <v/>
      </c>
      <c r="W64" s="293">
        <f t="shared" si="41"/>
        <v>0</v>
      </c>
      <c r="X64" s="293">
        <f t="shared" si="42"/>
        <v>1</v>
      </c>
      <c r="Y64" s="293">
        <f t="shared" si="43"/>
        <v>0</v>
      </c>
      <c r="Z64" s="355" t="str">
        <f t="shared" si="44"/>
        <v/>
      </c>
      <c r="AB64" s="293">
        <f t="shared" si="45"/>
        <v>0</v>
      </c>
      <c r="AC64" s="293">
        <f t="shared" si="46"/>
        <v>1</v>
      </c>
      <c r="AD64" s="293">
        <f t="shared" si="47"/>
        <v>0</v>
      </c>
      <c r="AE64" s="355" t="str">
        <f t="shared" si="48"/>
        <v/>
      </c>
    </row>
    <row r="65" spans="1:31" x14ac:dyDescent="0.3">
      <c r="A65" s="299"/>
      <c r="B65" s="300"/>
      <c r="C65" s="301"/>
      <c r="D65" s="302"/>
      <c r="E65" s="303"/>
      <c r="F65" s="303"/>
      <c r="G65" s="304"/>
      <c r="H65" s="296" t="str">
        <f>IF(C65&gt;0,F65*G65,IF(D65&gt;0,E65*G65,""))</f>
        <v/>
      </c>
      <c r="I65" s="297">
        <f t="shared" si="31"/>
        <v>0</v>
      </c>
      <c r="J65" s="297">
        <f>J64+I65</f>
        <v>0</v>
      </c>
      <c r="K65" s="298">
        <f>C65+K64-D65</f>
        <v>0</v>
      </c>
      <c r="L65" s="297">
        <f t="shared" si="33"/>
        <v>0</v>
      </c>
      <c r="M65" s="294"/>
      <c r="N65" s="297" t="str">
        <f t="shared" si="34"/>
        <v/>
      </c>
      <c r="O65" s="297" t="str">
        <f t="shared" si="35"/>
        <v/>
      </c>
      <c r="P65" s="356" t="str">
        <f t="shared" si="36"/>
        <v/>
      </c>
      <c r="R65" s="293">
        <f t="shared" si="37"/>
        <v>0</v>
      </c>
      <c r="S65" s="293">
        <f t="shared" si="38"/>
        <v>1</v>
      </c>
      <c r="T65" s="293">
        <f t="shared" si="39"/>
        <v>0</v>
      </c>
      <c r="U65" s="355" t="str">
        <f t="shared" si="40"/>
        <v/>
      </c>
      <c r="W65" s="293">
        <f t="shared" si="41"/>
        <v>0</v>
      </c>
      <c r="X65" s="293">
        <f t="shared" si="42"/>
        <v>1</v>
      </c>
      <c r="Y65" s="293">
        <f t="shared" si="43"/>
        <v>0</v>
      </c>
      <c r="Z65" s="355" t="str">
        <f t="shared" si="44"/>
        <v/>
      </c>
      <c r="AB65" s="293">
        <f t="shared" si="45"/>
        <v>0</v>
      </c>
      <c r="AC65" s="293">
        <f t="shared" si="46"/>
        <v>1</v>
      </c>
      <c r="AD65" s="293">
        <f t="shared" si="47"/>
        <v>0</v>
      </c>
      <c r="AE65" s="355" t="str">
        <f t="shared" si="48"/>
        <v/>
      </c>
    </row>
    <row r="66" spans="1:31" x14ac:dyDescent="0.3">
      <c r="A66" s="299"/>
      <c r="B66" s="300"/>
      <c r="C66" s="301"/>
      <c r="D66" s="302"/>
      <c r="E66" s="303"/>
      <c r="F66" s="303"/>
      <c r="G66" s="304"/>
      <c r="H66" s="296" t="str">
        <f t="shared" ref="H66:H77" si="51">IF(C66&gt;0,F66*G66,IF(D66&gt;0,E66*G66,""))</f>
        <v/>
      </c>
      <c r="I66" s="297">
        <f t="shared" ref="I66:I77" si="52">IF(C66&gt;0,C66*H66,IF(D66&gt;0,-D66*L65,0))</f>
        <v>0</v>
      </c>
      <c r="J66" s="297">
        <f t="shared" ref="J66:J77" si="53">J65+I66</f>
        <v>0</v>
      </c>
      <c r="K66" s="298">
        <f t="shared" ref="K66:K77" si="54">C66+K65-D66</f>
        <v>0</v>
      </c>
      <c r="L66" s="297">
        <f t="shared" si="33"/>
        <v>0</v>
      </c>
      <c r="M66" s="294"/>
      <c r="N66" s="297" t="str">
        <f t="shared" si="34"/>
        <v/>
      </c>
      <c r="O66" s="297" t="str">
        <f t="shared" si="35"/>
        <v/>
      </c>
      <c r="P66" s="356" t="str">
        <f t="shared" si="36"/>
        <v/>
      </c>
      <c r="R66" s="293">
        <f t="shared" si="37"/>
        <v>0</v>
      </c>
      <c r="S66" s="293">
        <f t="shared" si="38"/>
        <v>1</v>
      </c>
      <c r="T66" s="293">
        <f t="shared" si="39"/>
        <v>0</v>
      </c>
      <c r="U66" s="355" t="str">
        <f t="shared" si="40"/>
        <v/>
      </c>
      <c r="W66" s="293">
        <f t="shared" si="41"/>
        <v>0</v>
      </c>
      <c r="X66" s="293">
        <f t="shared" si="42"/>
        <v>1</v>
      </c>
      <c r="Y66" s="293">
        <f t="shared" si="43"/>
        <v>0</v>
      </c>
      <c r="Z66" s="355" t="str">
        <f t="shared" si="44"/>
        <v/>
      </c>
      <c r="AB66" s="293">
        <f t="shared" si="45"/>
        <v>0</v>
      </c>
      <c r="AC66" s="293">
        <f t="shared" si="46"/>
        <v>1</v>
      </c>
      <c r="AD66" s="293">
        <f t="shared" si="47"/>
        <v>0</v>
      </c>
      <c r="AE66" s="355" t="str">
        <f t="shared" si="48"/>
        <v/>
      </c>
    </row>
    <row r="67" spans="1:31" x14ac:dyDescent="0.3">
      <c r="A67" s="299"/>
      <c r="B67" s="300"/>
      <c r="C67" s="301"/>
      <c r="D67" s="302"/>
      <c r="E67" s="303"/>
      <c r="F67" s="303"/>
      <c r="G67" s="304"/>
      <c r="H67" s="296" t="str">
        <f t="shared" si="51"/>
        <v/>
      </c>
      <c r="I67" s="297">
        <f t="shared" si="52"/>
        <v>0</v>
      </c>
      <c r="J67" s="297">
        <f t="shared" si="53"/>
        <v>0</v>
      </c>
      <c r="K67" s="298">
        <f t="shared" si="54"/>
        <v>0</v>
      </c>
      <c r="L67" s="297">
        <f t="shared" si="33"/>
        <v>0</v>
      </c>
      <c r="M67" s="294"/>
      <c r="N67" s="297" t="str">
        <f t="shared" si="34"/>
        <v/>
      </c>
      <c r="O67" s="297" t="str">
        <f t="shared" si="35"/>
        <v/>
      </c>
      <c r="P67" s="356" t="str">
        <f t="shared" si="36"/>
        <v/>
      </c>
      <c r="R67" s="293">
        <f t="shared" si="37"/>
        <v>0</v>
      </c>
      <c r="S67" s="293">
        <f t="shared" si="38"/>
        <v>1</v>
      </c>
      <c r="T67" s="293">
        <f t="shared" si="39"/>
        <v>0</v>
      </c>
      <c r="U67" s="355" t="str">
        <f t="shared" si="40"/>
        <v/>
      </c>
      <c r="W67" s="293">
        <f t="shared" si="41"/>
        <v>0</v>
      </c>
      <c r="X67" s="293">
        <f t="shared" si="42"/>
        <v>1</v>
      </c>
      <c r="Y67" s="293">
        <f t="shared" si="43"/>
        <v>0</v>
      </c>
      <c r="Z67" s="355" t="str">
        <f t="shared" si="44"/>
        <v/>
      </c>
      <c r="AB67" s="293">
        <f t="shared" si="45"/>
        <v>0</v>
      </c>
      <c r="AC67" s="293">
        <f t="shared" si="46"/>
        <v>1</v>
      </c>
      <c r="AD67" s="293">
        <f t="shared" si="47"/>
        <v>0</v>
      </c>
      <c r="AE67" s="355" t="str">
        <f t="shared" si="48"/>
        <v/>
      </c>
    </row>
    <row r="68" spans="1:31" s="293" customFormat="1" x14ac:dyDescent="0.3">
      <c r="A68" s="299"/>
      <c r="B68" s="300"/>
      <c r="C68" s="301"/>
      <c r="D68" s="302"/>
      <c r="E68" s="303"/>
      <c r="F68" s="303"/>
      <c r="G68" s="304"/>
      <c r="H68" s="296" t="str">
        <f t="shared" si="51"/>
        <v/>
      </c>
      <c r="I68" s="297">
        <f t="shared" si="52"/>
        <v>0</v>
      </c>
      <c r="J68" s="297">
        <f t="shared" si="53"/>
        <v>0</v>
      </c>
      <c r="K68" s="298">
        <f t="shared" si="54"/>
        <v>0</v>
      </c>
      <c r="L68" s="297">
        <f t="shared" si="33"/>
        <v>0</v>
      </c>
      <c r="M68" s="294"/>
      <c r="N68" s="297" t="str">
        <f t="shared" si="34"/>
        <v/>
      </c>
      <c r="O68" s="297" t="str">
        <f t="shared" si="35"/>
        <v/>
      </c>
      <c r="P68" s="356" t="str">
        <f t="shared" si="36"/>
        <v/>
      </c>
      <c r="R68" s="293">
        <f t="shared" si="37"/>
        <v>0</v>
      </c>
      <c r="S68" s="293">
        <f t="shared" si="38"/>
        <v>1</v>
      </c>
      <c r="T68" s="293">
        <f t="shared" si="39"/>
        <v>0</v>
      </c>
      <c r="U68" s="355" t="str">
        <f t="shared" si="40"/>
        <v/>
      </c>
      <c r="W68" s="293">
        <f t="shared" si="41"/>
        <v>0</v>
      </c>
      <c r="X68" s="293">
        <f t="shared" si="42"/>
        <v>1</v>
      </c>
      <c r="Y68" s="293">
        <f t="shared" si="43"/>
        <v>0</v>
      </c>
      <c r="Z68" s="355" t="str">
        <f t="shared" si="44"/>
        <v/>
      </c>
      <c r="AB68" s="293">
        <f t="shared" si="45"/>
        <v>0</v>
      </c>
      <c r="AC68" s="293">
        <f t="shared" si="46"/>
        <v>1</v>
      </c>
      <c r="AD68" s="293">
        <f t="shared" si="47"/>
        <v>0</v>
      </c>
      <c r="AE68" s="355" t="str">
        <f t="shared" si="48"/>
        <v/>
      </c>
    </row>
    <row r="69" spans="1:31" s="293" customFormat="1" x14ac:dyDescent="0.3">
      <c r="A69" s="299"/>
      <c r="B69" s="300"/>
      <c r="C69" s="301"/>
      <c r="D69" s="302"/>
      <c r="E69" s="303"/>
      <c r="F69" s="303"/>
      <c r="G69" s="304"/>
      <c r="H69" s="296" t="str">
        <f t="shared" si="51"/>
        <v/>
      </c>
      <c r="I69" s="297">
        <f>IF(C69&gt;0,C69*H69,IF(D69&gt;0,-D69*L68,0))</f>
        <v>0</v>
      </c>
      <c r="J69" s="297">
        <f t="shared" si="53"/>
        <v>0</v>
      </c>
      <c r="K69" s="298">
        <f t="shared" si="54"/>
        <v>0</v>
      </c>
      <c r="L69" s="297">
        <f t="shared" si="33"/>
        <v>0</v>
      </c>
      <c r="M69" s="294"/>
      <c r="N69" s="297" t="str">
        <f>IF(D69&gt;0,H69*D69,"")</f>
        <v/>
      </c>
      <c r="O69" s="297" t="str">
        <f t="shared" si="35"/>
        <v/>
      </c>
      <c r="P69" s="356" t="str">
        <f t="shared" si="36"/>
        <v/>
      </c>
      <c r="R69" s="293">
        <f t="shared" si="37"/>
        <v>0</v>
      </c>
      <c r="S69" s="293">
        <f t="shared" si="38"/>
        <v>1</v>
      </c>
      <c r="T69" s="293">
        <f t="shared" si="39"/>
        <v>0</v>
      </c>
      <c r="U69" s="355" t="str">
        <f t="shared" si="40"/>
        <v/>
      </c>
      <c r="W69" s="293">
        <f t="shared" si="41"/>
        <v>0</v>
      </c>
      <c r="X69" s="293">
        <f t="shared" si="42"/>
        <v>1</v>
      </c>
      <c r="Y69" s="293">
        <f t="shared" si="43"/>
        <v>0</v>
      </c>
      <c r="Z69" s="355" t="str">
        <f t="shared" si="44"/>
        <v/>
      </c>
      <c r="AB69" s="293">
        <f t="shared" si="45"/>
        <v>0</v>
      </c>
      <c r="AC69" s="293">
        <f t="shared" si="46"/>
        <v>1</v>
      </c>
      <c r="AD69" s="293">
        <f t="shared" si="47"/>
        <v>0</v>
      </c>
      <c r="AE69" s="355" t="str">
        <f t="shared" si="48"/>
        <v/>
      </c>
    </row>
    <row r="70" spans="1:31" s="293" customFormat="1" x14ac:dyDescent="0.3">
      <c r="A70" s="299"/>
      <c r="B70" s="300"/>
      <c r="C70" s="301"/>
      <c r="D70" s="302"/>
      <c r="E70" s="303"/>
      <c r="F70" s="303"/>
      <c r="G70" s="304"/>
      <c r="H70" s="296" t="str">
        <f t="shared" si="51"/>
        <v/>
      </c>
      <c r="I70" s="297">
        <f>IF(C70&gt;0,C70*H70,IF(D70&gt;0,-D70*L69,0))</f>
        <v>0</v>
      </c>
      <c r="J70" s="297">
        <f t="shared" si="53"/>
        <v>0</v>
      </c>
      <c r="K70" s="298">
        <f t="shared" si="54"/>
        <v>0</v>
      </c>
      <c r="L70" s="297">
        <f t="shared" si="33"/>
        <v>0</v>
      </c>
      <c r="M70" s="294"/>
      <c r="N70" s="297" t="str">
        <f t="shared" si="34"/>
        <v/>
      </c>
      <c r="O70" s="297" t="str">
        <f t="shared" si="35"/>
        <v/>
      </c>
      <c r="P70" s="356" t="str">
        <f t="shared" si="36"/>
        <v/>
      </c>
      <c r="R70" s="293">
        <f t="shared" si="37"/>
        <v>0</v>
      </c>
      <c r="S70" s="293">
        <f t="shared" si="38"/>
        <v>1</v>
      </c>
      <c r="T70" s="293">
        <f t="shared" si="39"/>
        <v>0</v>
      </c>
      <c r="U70" s="355" t="str">
        <f t="shared" si="40"/>
        <v/>
      </c>
      <c r="W70" s="293">
        <f t="shared" si="41"/>
        <v>0</v>
      </c>
      <c r="X70" s="293">
        <f t="shared" si="42"/>
        <v>1</v>
      </c>
      <c r="Y70" s="293">
        <f t="shared" si="43"/>
        <v>0</v>
      </c>
      <c r="Z70" s="355" t="str">
        <f t="shared" si="44"/>
        <v/>
      </c>
      <c r="AB70" s="293">
        <f t="shared" si="45"/>
        <v>0</v>
      </c>
      <c r="AC70" s="293">
        <f t="shared" si="46"/>
        <v>1</v>
      </c>
      <c r="AD70" s="293">
        <f t="shared" si="47"/>
        <v>0</v>
      </c>
      <c r="AE70" s="355" t="str">
        <f t="shared" si="48"/>
        <v/>
      </c>
    </row>
    <row r="71" spans="1:31" s="293" customFormat="1" x14ac:dyDescent="0.3">
      <c r="A71" s="299"/>
      <c r="B71" s="300"/>
      <c r="C71" s="301"/>
      <c r="D71" s="302"/>
      <c r="E71" s="303"/>
      <c r="F71" s="303"/>
      <c r="G71" s="304"/>
      <c r="H71" s="296" t="str">
        <f t="shared" si="51"/>
        <v/>
      </c>
      <c r="I71" s="297">
        <f t="shared" si="52"/>
        <v>0</v>
      </c>
      <c r="J71" s="297">
        <f t="shared" si="53"/>
        <v>0</v>
      </c>
      <c r="K71" s="298">
        <f t="shared" si="54"/>
        <v>0</v>
      </c>
      <c r="L71" s="297">
        <f t="shared" si="33"/>
        <v>0</v>
      </c>
      <c r="M71" s="294"/>
      <c r="N71" s="297" t="str">
        <f t="shared" si="34"/>
        <v/>
      </c>
      <c r="O71" s="297" t="str">
        <f t="shared" si="35"/>
        <v/>
      </c>
      <c r="P71" s="356" t="str">
        <f t="shared" si="36"/>
        <v/>
      </c>
      <c r="R71" s="293">
        <f t="shared" si="37"/>
        <v>0</v>
      </c>
      <c r="S71" s="293">
        <f t="shared" si="38"/>
        <v>1</v>
      </c>
      <c r="T71" s="293">
        <f t="shared" si="39"/>
        <v>0</v>
      </c>
      <c r="U71" s="355" t="str">
        <f t="shared" si="40"/>
        <v/>
      </c>
      <c r="W71" s="293">
        <f t="shared" si="41"/>
        <v>0</v>
      </c>
      <c r="X71" s="293">
        <f t="shared" si="42"/>
        <v>1</v>
      </c>
      <c r="Y71" s="293">
        <f t="shared" si="43"/>
        <v>0</v>
      </c>
      <c r="Z71" s="355" t="str">
        <f t="shared" si="44"/>
        <v/>
      </c>
      <c r="AB71" s="293">
        <f t="shared" si="45"/>
        <v>0</v>
      </c>
      <c r="AC71" s="293">
        <f t="shared" si="46"/>
        <v>1</v>
      </c>
      <c r="AD71" s="293">
        <f t="shared" si="47"/>
        <v>0</v>
      </c>
      <c r="AE71" s="355" t="str">
        <f t="shared" si="48"/>
        <v/>
      </c>
    </row>
    <row r="72" spans="1:31" s="293" customFormat="1" x14ac:dyDescent="0.3">
      <c r="A72" s="299"/>
      <c r="B72" s="300"/>
      <c r="C72" s="301"/>
      <c r="D72" s="302"/>
      <c r="E72" s="303"/>
      <c r="F72" s="303"/>
      <c r="G72" s="304"/>
      <c r="H72" s="296" t="str">
        <f t="shared" si="51"/>
        <v/>
      </c>
      <c r="I72" s="297">
        <f t="shared" si="52"/>
        <v>0</v>
      </c>
      <c r="J72" s="297">
        <f t="shared" si="53"/>
        <v>0</v>
      </c>
      <c r="K72" s="298">
        <f t="shared" si="54"/>
        <v>0</v>
      </c>
      <c r="L72" s="297">
        <f t="shared" si="33"/>
        <v>0</v>
      </c>
      <c r="M72" s="294"/>
      <c r="N72" s="297" t="str">
        <f t="shared" si="34"/>
        <v/>
      </c>
      <c r="O72" s="297" t="str">
        <f t="shared" si="35"/>
        <v/>
      </c>
      <c r="P72" s="356" t="str">
        <f t="shared" si="36"/>
        <v/>
      </c>
      <c r="R72" s="293">
        <f t="shared" si="37"/>
        <v>0</v>
      </c>
      <c r="S72" s="293">
        <f t="shared" si="38"/>
        <v>1</v>
      </c>
      <c r="T72" s="293">
        <f t="shared" si="39"/>
        <v>0</v>
      </c>
      <c r="U72" s="355" t="str">
        <f t="shared" si="40"/>
        <v/>
      </c>
      <c r="W72" s="293">
        <f t="shared" si="41"/>
        <v>0</v>
      </c>
      <c r="X72" s="293">
        <f t="shared" si="42"/>
        <v>1</v>
      </c>
      <c r="Y72" s="293">
        <f t="shared" si="43"/>
        <v>0</v>
      </c>
      <c r="Z72" s="355" t="str">
        <f t="shared" si="44"/>
        <v/>
      </c>
      <c r="AB72" s="293">
        <f t="shared" si="45"/>
        <v>0</v>
      </c>
      <c r="AC72" s="293">
        <f t="shared" si="46"/>
        <v>1</v>
      </c>
      <c r="AD72" s="293">
        <f t="shared" si="47"/>
        <v>0</v>
      </c>
      <c r="AE72" s="355" t="str">
        <f t="shared" si="48"/>
        <v/>
      </c>
    </row>
    <row r="73" spans="1:31" s="293" customFormat="1" x14ac:dyDescent="0.3">
      <c r="A73" s="299"/>
      <c r="B73" s="300"/>
      <c r="C73" s="301"/>
      <c r="D73" s="302"/>
      <c r="E73" s="303"/>
      <c r="F73" s="303"/>
      <c r="G73" s="304"/>
      <c r="H73" s="296" t="str">
        <f t="shared" si="51"/>
        <v/>
      </c>
      <c r="I73" s="297">
        <f t="shared" si="52"/>
        <v>0</v>
      </c>
      <c r="J73" s="297">
        <f t="shared" si="53"/>
        <v>0</v>
      </c>
      <c r="K73" s="298">
        <f t="shared" si="54"/>
        <v>0</v>
      </c>
      <c r="L73" s="297">
        <f t="shared" si="33"/>
        <v>0</v>
      </c>
      <c r="M73" s="294"/>
      <c r="N73" s="297" t="str">
        <f t="shared" si="34"/>
        <v/>
      </c>
      <c r="O73" s="297" t="str">
        <f t="shared" si="35"/>
        <v/>
      </c>
      <c r="P73" s="356" t="str">
        <f t="shared" si="36"/>
        <v/>
      </c>
      <c r="R73" s="293">
        <f t="shared" si="37"/>
        <v>0</v>
      </c>
      <c r="S73" s="293">
        <f t="shared" si="38"/>
        <v>1</v>
      </c>
      <c r="T73" s="293">
        <f t="shared" si="39"/>
        <v>0</v>
      </c>
      <c r="U73" s="355" t="str">
        <f t="shared" si="40"/>
        <v/>
      </c>
      <c r="W73" s="293">
        <f t="shared" si="41"/>
        <v>0</v>
      </c>
      <c r="X73" s="293">
        <f t="shared" si="42"/>
        <v>1</v>
      </c>
      <c r="Y73" s="293">
        <f t="shared" si="43"/>
        <v>0</v>
      </c>
      <c r="Z73" s="355" t="str">
        <f t="shared" si="44"/>
        <v/>
      </c>
      <c r="AB73" s="293">
        <f t="shared" si="45"/>
        <v>0</v>
      </c>
      <c r="AC73" s="293">
        <f t="shared" si="46"/>
        <v>1</v>
      </c>
      <c r="AD73" s="293">
        <f t="shared" si="47"/>
        <v>0</v>
      </c>
      <c r="AE73" s="355" t="str">
        <f t="shared" si="48"/>
        <v/>
      </c>
    </row>
    <row r="74" spans="1:31" s="293" customFormat="1" x14ac:dyDescent="0.3">
      <c r="A74" s="299"/>
      <c r="B74" s="300"/>
      <c r="C74" s="301"/>
      <c r="D74" s="302"/>
      <c r="E74" s="303"/>
      <c r="F74" s="303"/>
      <c r="G74" s="304"/>
      <c r="H74" s="296" t="str">
        <f t="shared" si="51"/>
        <v/>
      </c>
      <c r="I74" s="297">
        <f t="shared" si="52"/>
        <v>0</v>
      </c>
      <c r="J74" s="297">
        <f t="shared" si="53"/>
        <v>0</v>
      </c>
      <c r="K74" s="298">
        <f t="shared" si="54"/>
        <v>0</v>
      </c>
      <c r="L74" s="297">
        <f t="shared" si="33"/>
        <v>0</v>
      </c>
      <c r="M74" s="294"/>
      <c r="N74" s="297" t="str">
        <f t="shared" si="34"/>
        <v/>
      </c>
      <c r="O74" s="297" t="str">
        <f t="shared" si="35"/>
        <v/>
      </c>
      <c r="P74" s="356" t="str">
        <f t="shared" si="36"/>
        <v/>
      </c>
      <c r="R74" s="293">
        <f t="shared" si="37"/>
        <v>0</v>
      </c>
      <c r="S74" s="293">
        <f t="shared" si="38"/>
        <v>1</v>
      </c>
      <c r="T74" s="293">
        <f t="shared" si="39"/>
        <v>0</v>
      </c>
      <c r="U74" s="355" t="str">
        <f t="shared" si="40"/>
        <v/>
      </c>
      <c r="W74" s="293">
        <f t="shared" si="41"/>
        <v>0</v>
      </c>
      <c r="X74" s="293">
        <f t="shared" si="42"/>
        <v>1</v>
      </c>
      <c r="Y74" s="293">
        <f t="shared" si="43"/>
        <v>0</v>
      </c>
      <c r="Z74" s="355" t="str">
        <f t="shared" si="44"/>
        <v/>
      </c>
      <c r="AB74" s="293">
        <f t="shared" si="45"/>
        <v>0</v>
      </c>
      <c r="AC74" s="293">
        <f t="shared" si="46"/>
        <v>1</v>
      </c>
      <c r="AD74" s="293">
        <f t="shared" si="47"/>
        <v>0</v>
      </c>
      <c r="AE74" s="355" t="str">
        <f t="shared" si="48"/>
        <v/>
      </c>
    </row>
    <row r="75" spans="1:31" s="293" customFormat="1" x14ac:dyDescent="0.3">
      <c r="A75" s="299"/>
      <c r="B75" s="300"/>
      <c r="C75" s="301"/>
      <c r="D75" s="302"/>
      <c r="E75" s="303"/>
      <c r="F75" s="303"/>
      <c r="G75" s="304"/>
      <c r="H75" s="296" t="str">
        <f>IF(C75&gt;0,F75*G75,IF(D75&gt;0,E75*G75,""))</f>
        <v/>
      </c>
      <c r="I75" s="297">
        <f>IF(C75&gt;0,C75*H75,IF(D75&gt;0,-D75*L74,0))</f>
        <v>0</v>
      </c>
      <c r="J75" s="297">
        <f>J74+I75</f>
        <v>0</v>
      </c>
      <c r="K75" s="298">
        <f>C75+K74-D75</f>
        <v>0</v>
      </c>
      <c r="L75" s="297">
        <f t="shared" si="33"/>
        <v>0</v>
      </c>
      <c r="M75" s="294"/>
      <c r="N75" s="297" t="str">
        <f t="shared" si="34"/>
        <v/>
      </c>
      <c r="O75" s="297" t="str">
        <f t="shared" si="35"/>
        <v/>
      </c>
      <c r="P75" s="356" t="str">
        <f t="shared" si="36"/>
        <v/>
      </c>
      <c r="R75" s="293">
        <f t="shared" si="37"/>
        <v>0</v>
      </c>
      <c r="S75" s="293">
        <f>IF($A75&lt;$S$58,1,0)</f>
        <v>1</v>
      </c>
      <c r="T75" s="293">
        <f t="shared" si="39"/>
        <v>0</v>
      </c>
      <c r="U75" s="355" t="str">
        <f t="shared" si="40"/>
        <v/>
      </c>
      <c r="W75" s="293">
        <f t="shared" si="41"/>
        <v>0</v>
      </c>
      <c r="X75" s="293">
        <f t="shared" si="42"/>
        <v>1</v>
      </c>
      <c r="Y75" s="293">
        <f t="shared" si="43"/>
        <v>0</v>
      </c>
      <c r="Z75" s="355" t="str">
        <f t="shared" si="44"/>
        <v/>
      </c>
      <c r="AB75" s="293">
        <f t="shared" si="45"/>
        <v>0</v>
      </c>
      <c r="AC75" s="293">
        <f t="shared" si="46"/>
        <v>1</v>
      </c>
      <c r="AD75" s="293">
        <f t="shared" si="47"/>
        <v>0</v>
      </c>
      <c r="AE75" s="355" t="str">
        <f t="shared" si="48"/>
        <v/>
      </c>
    </row>
    <row r="76" spans="1:31" s="293" customFormat="1" x14ac:dyDescent="0.3">
      <c r="A76" s="299"/>
      <c r="B76" s="300"/>
      <c r="C76" s="301"/>
      <c r="D76" s="302"/>
      <c r="E76" s="303"/>
      <c r="F76" s="303"/>
      <c r="G76" s="304"/>
      <c r="H76" s="296" t="str">
        <f t="shared" si="51"/>
        <v/>
      </c>
      <c r="I76" s="297">
        <f t="shared" si="52"/>
        <v>0</v>
      </c>
      <c r="J76" s="297">
        <f t="shared" si="53"/>
        <v>0</v>
      </c>
      <c r="K76" s="298">
        <f t="shared" si="54"/>
        <v>0</v>
      </c>
      <c r="L76" s="297">
        <f t="shared" si="33"/>
        <v>0</v>
      </c>
      <c r="M76" s="294"/>
      <c r="N76" s="297" t="str">
        <f t="shared" si="34"/>
        <v/>
      </c>
      <c r="O76" s="297" t="str">
        <f t="shared" si="35"/>
        <v/>
      </c>
      <c r="P76" s="356" t="str">
        <f t="shared" si="36"/>
        <v/>
      </c>
      <c r="R76" s="293">
        <f t="shared" si="37"/>
        <v>0</v>
      </c>
      <c r="S76" s="293">
        <f t="shared" si="38"/>
        <v>1</v>
      </c>
      <c r="T76" s="293">
        <f t="shared" si="39"/>
        <v>0</v>
      </c>
      <c r="U76" s="355" t="str">
        <f t="shared" si="40"/>
        <v/>
      </c>
      <c r="W76" s="293">
        <f t="shared" si="41"/>
        <v>0</v>
      </c>
      <c r="X76" s="293">
        <f t="shared" si="42"/>
        <v>1</v>
      </c>
      <c r="Y76" s="293">
        <f t="shared" si="43"/>
        <v>0</v>
      </c>
      <c r="Z76" s="355" t="str">
        <f t="shared" si="44"/>
        <v/>
      </c>
      <c r="AB76" s="293">
        <f t="shared" si="45"/>
        <v>0</v>
      </c>
      <c r="AC76" s="293">
        <f t="shared" si="46"/>
        <v>1</v>
      </c>
      <c r="AD76" s="293">
        <f t="shared" si="47"/>
        <v>0</v>
      </c>
      <c r="AE76" s="355" t="str">
        <f t="shared" si="48"/>
        <v/>
      </c>
    </row>
    <row r="77" spans="1:31" s="293" customFormat="1" x14ac:dyDescent="0.3">
      <c r="A77" s="299"/>
      <c r="B77" s="300"/>
      <c r="C77" s="301"/>
      <c r="D77" s="302"/>
      <c r="E77" s="303"/>
      <c r="F77" s="303"/>
      <c r="G77" s="304"/>
      <c r="H77" s="296" t="str">
        <f t="shared" si="51"/>
        <v/>
      </c>
      <c r="I77" s="297">
        <f t="shared" si="52"/>
        <v>0</v>
      </c>
      <c r="J77" s="297">
        <f t="shared" si="53"/>
        <v>0</v>
      </c>
      <c r="K77" s="298">
        <f t="shared" si="54"/>
        <v>0</v>
      </c>
      <c r="L77" s="297">
        <f t="shared" si="33"/>
        <v>0</v>
      </c>
      <c r="M77" s="294"/>
      <c r="N77" s="297" t="str">
        <f t="shared" si="34"/>
        <v/>
      </c>
      <c r="O77" s="297" t="str">
        <f t="shared" si="35"/>
        <v/>
      </c>
      <c r="P77" s="356" t="str">
        <f t="shared" si="36"/>
        <v/>
      </c>
      <c r="R77" s="293">
        <f t="shared" si="37"/>
        <v>0</v>
      </c>
      <c r="S77" s="293">
        <f t="shared" si="38"/>
        <v>1</v>
      </c>
      <c r="T77" s="293">
        <f t="shared" si="39"/>
        <v>0</v>
      </c>
      <c r="U77" s="355" t="str">
        <f t="shared" si="40"/>
        <v/>
      </c>
      <c r="W77" s="293">
        <f t="shared" si="41"/>
        <v>0</v>
      </c>
      <c r="X77" s="293">
        <f t="shared" si="42"/>
        <v>1</v>
      </c>
      <c r="Y77" s="293">
        <f t="shared" si="43"/>
        <v>0</v>
      </c>
      <c r="Z77" s="355" t="str">
        <f t="shared" si="44"/>
        <v/>
      </c>
      <c r="AB77" s="293">
        <f t="shared" si="45"/>
        <v>0</v>
      </c>
      <c r="AC77" s="293">
        <f t="shared" si="46"/>
        <v>1</v>
      </c>
      <c r="AD77" s="293">
        <f t="shared" si="47"/>
        <v>0</v>
      </c>
      <c r="AE77" s="355" t="str">
        <f t="shared" si="48"/>
        <v/>
      </c>
    </row>
    <row r="78" spans="1:31" s="293" customFormat="1" x14ac:dyDescent="0.3">
      <c r="A78" s="299"/>
      <c r="B78" s="300"/>
      <c r="C78" s="301"/>
      <c r="D78" s="302"/>
      <c r="E78" s="303"/>
      <c r="F78" s="303"/>
      <c r="G78" s="304"/>
      <c r="H78" s="296" t="str">
        <f>IF(C78&gt;0,F78*G78,IF(D78&gt;0,E78*G78,""))</f>
        <v/>
      </c>
      <c r="I78" s="297">
        <f>IF(C78&gt;0,C78*H78,IF(D78&gt;0,-D78*L77,0))</f>
        <v>0</v>
      </c>
      <c r="J78" s="297">
        <f>J77+I78</f>
        <v>0</v>
      </c>
      <c r="K78" s="298">
        <f>C78+K77-D78</f>
        <v>0</v>
      </c>
      <c r="L78" s="297">
        <f>IF(K78&gt;0,J78/K78,0)</f>
        <v>0</v>
      </c>
      <c r="M78" s="294"/>
      <c r="N78" s="297" t="str">
        <f>IF(D78&gt;0,H78*D78,"")</f>
        <v/>
      </c>
      <c r="O78" s="297" t="str">
        <f>IF(D78&gt;0,I78,"")</f>
        <v/>
      </c>
      <c r="P78" s="356" t="str">
        <f>IF(D78&gt;0,N78+O78,"")</f>
        <v/>
      </c>
      <c r="R78" s="293">
        <f t="shared" si="37"/>
        <v>0</v>
      </c>
      <c r="S78" s="293">
        <f t="shared" si="38"/>
        <v>1</v>
      </c>
      <c r="T78" s="293">
        <f t="shared" si="39"/>
        <v>0</v>
      </c>
      <c r="U78" s="355" t="str">
        <f t="shared" si="40"/>
        <v/>
      </c>
      <c r="W78" s="293">
        <f t="shared" si="41"/>
        <v>0</v>
      </c>
      <c r="X78" s="293">
        <f t="shared" si="42"/>
        <v>1</v>
      </c>
      <c r="Y78" s="293">
        <f t="shared" si="43"/>
        <v>0</v>
      </c>
      <c r="Z78" s="355" t="str">
        <f t="shared" si="44"/>
        <v/>
      </c>
      <c r="AB78" s="293">
        <f t="shared" si="45"/>
        <v>0</v>
      </c>
      <c r="AC78" s="293">
        <f t="shared" si="46"/>
        <v>1</v>
      </c>
      <c r="AD78" s="293">
        <f t="shared" si="47"/>
        <v>0</v>
      </c>
      <c r="AE78" s="355" t="str">
        <f t="shared" si="48"/>
        <v/>
      </c>
    </row>
    <row r="79" spans="1:31" s="293" customFormat="1" ht="15" thickBot="1" x14ac:dyDescent="0.35">
      <c r="A79" s="11"/>
      <c r="B79" s="294"/>
      <c r="C79" s="294"/>
      <c r="D79" s="294"/>
      <c r="E79" s="294"/>
      <c r="F79" s="294"/>
      <c r="G79" s="294"/>
      <c r="H79" s="294"/>
      <c r="I79" s="17"/>
      <c r="J79" s="17"/>
      <c r="K79" s="23"/>
      <c r="L79" s="17"/>
      <c r="M79" s="294"/>
      <c r="N79" s="294"/>
      <c r="O79" s="294"/>
      <c r="P79" s="10"/>
    </row>
    <row r="80" spans="1:31" s="293" customFormat="1" x14ac:dyDescent="0.3">
      <c r="A80" s="414" t="s">
        <v>312</v>
      </c>
      <c r="B80" s="9"/>
      <c r="C80" s="9"/>
      <c r="D80" s="9"/>
      <c r="E80" s="9"/>
      <c r="F80" s="9"/>
      <c r="G80" s="9"/>
      <c r="H80" s="9"/>
      <c r="I80" s="408"/>
      <c r="J80" s="409">
        <f>ROUND(J78,2)</f>
        <v>0</v>
      </c>
      <c r="K80" s="410">
        <f>K78</f>
        <v>0</v>
      </c>
      <c r="L80" s="411">
        <f>IF(K80&gt;0,J80/K80,0)</f>
        <v>0</v>
      </c>
      <c r="M80" s="9"/>
      <c r="N80" s="412" t="str">
        <f>IF(L80&lt;(7.010144*10.3044),"It will beneficial for 2015 cashflow purposes if you elect for Rollover on your new PA shares.","It will beneficial for 2015 cashflow purposes if you do not elect for Rollover on your new PA shares.")</f>
        <v>It will beneficial for 2015 cashflow purposes if you elect for Rollover on your new PA shares.</v>
      </c>
      <c r="O80" s="9"/>
      <c r="P80" s="413"/>
    </row>
    <row r="81" spans="1:17" s="293" customFormat="1" x14ac:dyDescent="0.3">
      <c r="A81" s="11"/>
      <c r="B81" s="294"/>
      <c r="C81" s="294"/>
      <c r="D81" s="294"/>
      <c r="E81" s="294"/>
      <c r="F81" s="294"/>
      <c r="G81" s="294"/>
      <c r="H81" s="294"/>
      <c r="I81" s="17"/>
      <c r="J81" s="17"/>
      <c r="K81" s="23"/>
      <c r="L81" s="17"/>
      <c r="M81" s="294"/>
      <c r="N81" s="402"/>
      <c r="O81" s="402"/>
      <c r="P81" s="403"/>
      <c r="Q81" s="404"/>
    </row>
    <row r="82" spans="1:17" s="293" customFormat="1" x14ac:dyDescent="0.3">
      <c r="A82" s="11"/>
      <c r="B82" s="294"/>
      <c r="C82" s="294"/>
      <c r="D82" s="294"/>
      <c r="E82" s="294"/>
      <c r="F82" s="17"/>
      <c r="G82" s="294"/>
      <c r="H82" s="17"/>
      <c r="I82" s="294"/>
      <c r="J82" s="17">
        <f>K82*L82</f>
        <v>0</v>
      </c>
      <c r="K82" s="23">
        <f>K80-(SUMIF(A59:A78,"9/12/2015",C59:C78))-(SUMIF(A59:A78,"8/12/2015",C59:C78))</f>
        <v>0</v>
      </c>
      <c r="L82" s="27">
        <f>10.3044*(IF(L80&lt;(7.010144*10.3044),IF('Your PA share history'!I17="Current",(9.58194+(7.301361*'Your PA share history'!K21)),(11.123445+(12.77*'Your PA share history'!K21))),IF('Your PA share history'!I17="Current",(9.58194+(7.301361*'Your PA share history'!K21)+6.832863+0.177281),(11.123445+(12.77*'Your PA share history'!K21)))))</f>
        <v>143.87782910903996</v>
      </c>
      <c r="M82" s="294"/>
      <c r="N82" s="402" t="str">
        <f>"Taxable sale proceeds on PA shares (note that a discount is applied to the Loan Note value so that "&amp;'Your PA share history'!I21&amp;"% is taxable in 2015)."</f>
        <v>Taxable sale proceeds on PA shares (note that a discount is applied to the Loan Note value so that 60% is taxable in 2015).</v>
      </c>
      <c r="O82" s="402"/>
      <c r="P82" s="403"/>
      <c r="Q82" s="404"/>
    </row>
    <row r="83" spans="1:17" s="293" customFormat="1" ht="15" hidden="1" x14ac:dyDescent="0.25">
      <c r="A83" s="11"/>
      <c r="B83" s="294"/>
      <c r="C83" s="294"/>
      <c r="D83" s="294"/>
      <c r="E83" s="294"/>
      <c r="F83" s="17"/>
      <c r="G83" s="294"/>
      <c r="H83" s="17"/>
      <c r="I83" s="294"/>
      <c r="J83" s="17">
        <f>K83*L83</f>
        <v>0</v>
      </c>
      <c r="K83" s="23">
        <f>(SUMIF(A59:A78,"8/12/2015",C59:C78))</f>
        <v>0</v>
      </c>
      <c r="L83" s="27">
        <f>10.3044*(IF(L80&lt;(7.010144*10.3044),16.8833,23.8934445526))</f>
        <v>173.97227651999998</v>
      </c>
      <c r="M83" s="294"/>
      <c r="N83" s="402" t="s">
        <v>325</v>
      </c>
      <c r="O83" s="402"/>
      <c r="P83" s="403"/>
      <c r="Q83" s="404"/>
    </row>
    <row r="84" spans="1:17" s="293" customFormat="1" ht="15" hidden="1" x14ac:dyDescent="0.25">
      <c r="A84" s="11"/>
      <c r="B84" s="294"/>
      <c r="C84" s="294"/>
      <c r="D84" s="294"/>
      <c r="E84" s="294"/>
      <c r="F84" s="17"/>
      <c r="I84" s="294"/>
      <c r="J84" s="17">
        <f>K84*L84</f>
        <v>0</v>
      </c>
      <c r="K84" s="23">
        <f>(SUMIF(A59:A78,"9/12/2015",C59:C78))</f>
        <v>0</v>
      </c>
      <c r="L84" s="27">
        <f>10.3044*(IF(L80&lt;(7.010144*10.3044),16.8833,23.8934445526))</f>
        <v>173.97227651999998</v>
      </c>
      <c r="M84" s="294"/>
      <c r="N84" s="402" t="s">
        <v>324</v>
      </c>
      <c r="O84" s="402"/>
      <c r="P84" s="403"/>
      <c r="Q84" s="404"/>
    </row>
    <row r="85" spans="1:17" s="293" customFormat="1" x14ac:dyDescent="0.3">
      <c r="A85" s="11"/>
      <c r="B85" s="294"/>
      <c r="C85" s="294"/>
      <c r="D85" s="294"/>
      <c r="E85" s="294"/>
      <c r="F85" s="17"/>
      <c r="G85" s="294"/>
      <c r="H85" s="294"/>
      <c r="I85" s="294"/>
      <c r="J85" s="17">
        <f>SUM(J83:J84)</f>
        <v>0</v>
      </c>
      <c r="K85" s="23">
        <f>SUM(K83:K84)</f>
        <v>0</v>
      </c>
      <c r="L85" s="27">
        <f>10.3044*(IF(L80&lt;(7*10.3044),16.8833,23.8934445526))</f>
        <v>173.97227651999998</v>
      </c>
      <c r="M85" s="294"/>
      <c r="N85" s="402" t="s">
        <v>326</v>
      </c>
      <c r="O85" s="402"/>
      <c r="P85" s="403"/>
      <c r="Q85" s="404"/>
    </row>
    <row r="86" spans="1:17" s="293" customFormat="1" x14ac:dyDescent="0.3">
      <c r="A86" s="11"/>
      <c r="B86" s="294"/>
      <c r="C86" s="294"/>
      <c r="D86" s="294"/>
      <c r="E86" s="294"/>
      <c r="F86" s="17"/>
      <c r="G86" s="294"/>
      <c r="H86" s="294"/>
      <c r="I86" s="294"/>
      <c r="J86" s="17">
        <f>J82+J85</f>
        <v>0</v>
      </c>
      <c r="K86" s="23">
        <f>K85+K82</f>
        <v>0</v>
      </c>
      <c r="L86" s="17" t="e">
        <f>J86/K86</f>
        <v>#DIV/0!</v>
      </c>
      <c r="M86" s="294"/>
      <c r="N86" s="402" t="s">
        <v>311</v>
      </c>
      <c r="O86" s="402"/>
      <c r="P86" s="403"/>
      <c r="Q86" s="404"/>
    </row>
    <row r="87" spans="1:17" s="293" customFormat="1" x14ac:dyDescent="0.3">
      <c r="A87" s="11"/>
      <c r="B87" s="294"/>
      <c r="C87" s="294"/>
      <c r="D87" s="294"/>
      <c r="E87" s="294"/>
      <c r="F87" s="17"/>
      <c r="G87" s="294"/>
      <c r="H87" s="294"/>
      <c r="I87" s="17"/>
      <c r="J87" s="17"/>
      <c r="K87" s="23"/>
      <c r="L87" s="17"/>
      <c r="M87" s="294"/>
      <c r="N87" s="402"/>
      <c r="O87" s="402"/>
      <c r="P87" s="403"/>
      <c r="Q87" s="404"/>
    </row>
    <row r="88" spans="1:17" x14ac:dyDescent="0.3">
      <c r="A88" s="11"/>
      <c r="B88" s="294"/>
      <c r="C88" s="294"/>
      <c r="D88" s="294"/>
      <c r="E88" s="294"/>
      <c r="F88" s="17"/>
      <c r="G88" s="294"/>
      <c r="H88" s="294"/>
      <c r="I88" s="17"/>
      <c r="J88" s="17">
        <f>L88*K86</f>
        <v>0</v>
      </c>
      <c r="K88" s="294"/>
      <c r="L88" s="17">
        <f>IF(L80&lt;(7.010144*10.3044),0,L80)</f>
        <v>0</v>
      </c>
      <c r="M88" s="294"/>
      <c r="N88" s="402" t="s">
        <v>309</v>
      </c>
      <c r="O88" s="402"/>
      <c r="P88" s="403"/>
      <c r="Q88" s="404"/>
    </row>
    <row r="89" spans="1:17" s="293" customFormat="1" x14ac:dyDescent="0.3">
      <c r="A89" s="11"/>
      <c r="B89" s="294"/>
      <c r="C89" s="294"/>
      <c r="D89" s="294"/>
      <c r="E89" s="294"/>
      <c r="F89" s="17"/>
      <c r="G89" s="294"/>
      <c r="H89" s="294"/>
      <c r="I89" s="17"/>
      <c r="J89" s="17"/>
      <c r="K89" s="23"/>
      <c r="L89" s="17"/>
      <c r="M89" s="294"/>
      <c r="N89" s="402"/>
      <c r="O89" s="402"/>
      <c r="P89" s="403"/>
      <c r="Q89" s="404"/>
    </row>
    <row r="90" spans="1:17" s="293" customFormat="1" x14ac:dyDescent="0.3">
      <c r="A90" s="11"/>
      <c r="B90" s="294"/>
      <c r="C90" s="294"/>
      <c r="D90" s="294"/>
      <c r="E90" s="294"/>
      <c r="F90" s="17"/>
      <c r="G90" s="294"/>
      <c r="H90" s="294"/>
      <c r="I90" s="17"/>
      <c r="J90" s="17">
        <f>J86-J88</f>
        <v>0</v>
      </c>
      <c r="K90" s="294"/>
      <c r="L90" s="17" t="e">
        <f>L86-L88</f>
        <v>#DIV/0!</v>
      </c>
      <c r="M90" s="294"/>
      <c r="N90" s="402" t="s">
        <v>310</v>
      </c>
      <c r="O90" s="402"/>
      <c r="P90" s="403"/>
      <c r="Q90" s="404"/>
    </row>
    <row r="91" spans="1:17" s="293" customFormat="1" x14ac:dyDescent="0.3">
      <c r="A91" s="11"/>
      <c r="B91" s="294"/>
      <c r="C91" s="294"/>
      <c r="D91" s="294"/>
      <c r="E91" s="294"/>
      <c r="F91" s="17"/>
      <c r="G91" s="294"/>
      <c r="H91" s="294"/>
      <c r="I91" s="17"/>
      <c r="J91" s="23"/>
      <c r="K91" s="294"/>
      <c r="L91" s="17"/>
      <c r="M91" s="294"/>
      <c r="N91" s="402"/>
      <c r="O91" s="402"/>
      <c r="P91" s="403"/>
      <c r="Q91" s="404"/>
    </row>
    <row r="92" spans="1:17" s="293" customFormat="1" x14ac:dyDescent="0.3">
      <c r="A92" s="11"/>
      <c r="B92" s="294"/>
      <c r="C92" s="294"/>
      <c r="D92" s="294"/>
      <c r="E92" s="294"/>
      <c r="F92" s="17"/>
      <c r="G92" s="294"/>
      <c r="H92" s="294"/>
      <c r="I92" s="17"/>
      <c r="J92" s="23">
        <f>L92*K86</f>
        <v>0</v>
      </c>
      <c r="K92" s="294"/>
      <c r="L92" s="17">
        <f>L80-L88</f>
        <v>0</v>
      </c>
      <c r="M92" s="294"/>
      <c r="N92" s="402" t="s">
        <v>327</v>
      </c>
      <c r="O92" s="402"/>
      <c r="P92" s="403"/>
      <c r="Q92" s="404"/>
    </row>
    <row r="93" spans="1:17" ht="15" thickBot="1" x14ac:dyDescent="0.35">
      <c r="A93" s="20"/>
      <c r="B93" s="21"/>
      <c r="C93" s="21"/>
      <c r="D93" s="21"/>
      <c r="E93" s="21"/>
      <c r="F93" s="21"/>
      <c r="G93" s="21"/>
      <c r="H93" s="21"/>
      <c r="I93" s="32"/>
      <c r="J93" s="32"/>
      <c r="K93" s="33"/>
      <c r="L93" s="32"/>
      <c r="M93" s="21"/>
      <c r="N93" s="405"/>
      <c r="O93" s="405"/>
      <c r="P93" s="406"/>
      <c r="Q93" s="404"/>
    </row>
    <row r="94" spans="1:17" x14ac:dyDescent="0.3">
      <c r="N94" s="404"/>
      <c r="O94" s="404"/>
      <c r="P94" s="404"/>
      <c r="Q94" s="404"/>
    </row>
    <row r="95" spans="1:17" x14ac:dyDescent="0.3">
      <c r="N95" s="404"/>
      <c r="O95" s="404"/>
      <c r="P95" s="404"/>
      <c r="Q95" s="404"/>
    </row>
  </sheetData>
  <mergeCells count="2">
    <mergeCell ref="A4:O4"/>
    <mergeCell ref="A5:O5"/>
  </mergeCells>
  <pageMargins left="0.70866141732283472" right="0.70866141732283472" top="0.74803149606299213" bottom="0.74803149606299213" header="0.31496062992125984" footer="0.31496062992125984"/>
  <pageSetup paperSize="9" scale="36" orientation="portrait" r:id="rId1"/>
  <headerFooter>
    <oddFooter>&amp;LPA has made every effort to provide detailed share records and this calculator to you.   It remains however your personal responsibility to report your share income on your tax returns.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120" zoomScaleNormal="120" workbookViewId="0"/>
  </sheetViews>
  <sheetFormatPr defaultColWidth="9.109375" defaultRowHeight="14.4" x14ac:dyDescent="0.3"/>
  <cols>
    <col min="1" max="1" width="15.88671875" style="293" customWidth="1"/>
    <col min="2" max="2" width="56.44140625" style="293" customWidth="1"/>
    <col min="3" max="3" width="17.5546875" style="293" customWidth="1"/>
    <col min="4" max="4" width="21" style="293" bestFit="1" customWidth="1"/>
    <col min="5" max="6" width="10.6640625" style="293" customWidth="1"/>
    <col min="7" max="7" width="22.5546875" style="293" customWidth="1"/>
    <col min="8" max="9" width="9.109375" style="293"/>
    <col min="10" max="12" width="0" style="293" hidden="1" customWidth="1"/>
    <col min="13" max="16384" width="9.109375" style="293"/>
  </cols>
  <sheetData>
    <row r="1" spans="1:8" ht="20.25" thickTop="1" thickBot="1" x14ac:dyDescent="0.35">
      <c r="A1" s="307" t="s">
        <v>282</v>
      </c>
    </row>
    <row r="2" spans="1:8" ht="15" thickTop="1" x14ac:dyDescent="0.3">
      <c r="A2" s="349" t="s">
        <v>13</v>
      </c>
      <c r="B2" s="350" t="s">
        <v>14</v>
      </c>
      <c r="C2" s="350" t="s">
        <v>15</v>
      </c>
      <c r="D2" s="350" t="s">
        <v>16</v>
      </c>
      <c r="E2" s="350"/>
      <c r="F2" s="350"/>
      <c r="G2" s="350"/>
      <c r="H2" s="351"/>
    </row>
    <row r="3" spans="1:8" ht="15" x14ac:dyDescent="0.25">
      <c r="A3" s="352"/>
      <c r="B3" s="338"/>
      <c r="C3" s="338"/>
      <c r="D3" s="338"/>
      <c r="E3" s="338"/>
      <c r="F3" s="338"/>
      <c r="G3" s="338"/>
      <c r="H3" s="353"/>
    </row>
    <row r="4" spans="1:8" ht="15" hidden="1" x14ac:dyDescent="0.25">
      <c r="C4" s="293">
        <f>IF('Skattemæssig værdi af PA aktier'!AE59=3,'Skattemæssig værdi af PA aktier'!P59,0)</f>
        <v>0</v>
      </c>
    </row>
    <row r="5" spans="1:8" ht="15" hidden="1" x14ac:dyDescent="0.25">
      <c r="C5" s="293">
        <f>IF('Skattemæssig værdi af PA aktier'!AE60=3,'Skattemæssig værdi af PA aktier'!P60,0)</f>
        <v>0</v>
      </c>
    </row>
    <row r="6" spans="1:8" ht="15" hidden="1" x14ac:dyDescent="0.25">
      <c r="C6" s="293">
        <f>IF('Skattemæssig værdi af PA aktier'!AE61=3,'Skattemæssig værdi af PA aktier'!P61,0)</f>
        <v>0</v>
      </c>
    </row>
    <row r="7" spans="1:8" ht="15" hidden="1" x14ac:dyDescent="0.25">
      <c r="C7" s="293">
        <f>IF('Skattemæssig værdi af PA aktier'!AE62=3,'Skattemæssig værdi af PA aktier'!P62,0)</f>
        <v>0</v>
      </c>
    </row>
    <row r="8" spans="1:8" ht="15" hidden="1" x14ac:dyDescent="0.25">
      <c r="C8" s="293">
        <f>IF('Skattemæssig værdi af PA aktier'!AE63=3,'Skattemæssig værdi af PA aktier'!P63,0)</f>
        <v>0</v>
      </c>
    </row>
    <row r="9" spans="1:8" ht="15" hidden="1" x14ac:dyDescent="0.25">
      <c r="C9" s="293">
        <f>IF('Skattemæssig værdi af PA aktier'!AE64=3,'Skattemæssig værdi af PA aktier'!P64,0)</f>
        <v>0</v>
      </c>
    </row>
    <row r="10" spans="1:8" ht="15" hidden="1" x14ac:dyDescent="0.25">
      <c r="C10" s="293">
        <f>IF('Skattemæssig værdi af PA aktier'!AE65=3,'Skattemæssig værdi af PA aktier'!P65,0)</f>
        <v>0</v>
      </c>
    </row>
    <row r="11" spans="1:8" ht="15" hidden="1" x14ac:dyDescent="0.25">
      <c r="C11" s="293">
        <f>IF('Skattemæssig værdi af PA aktier'!AE66=3,'Skattemæssig værdi af PA aktier'!P66,0)</f>
        <v>0</v>
      </c>
    </row>
    <row r="12" spans="1:8" ht="15" hidden="1" x14ac:dyDescent="0.25">
      <c r="C12" s="293">
        <f>IF('Skattemæssig værdi af PA aktier'!AE67=3,'Skattemæssig værdi af PA aktier'!P67,0)</f>
        <v>0</v>
      </c>
    </row>
    <row r="13" spans="1:8" ht="15" hidden="1" x14ac:dyDescent="0.25">
      <c r="C13" s="293">
        <f>IF('Skattemæssig værdi af PA aktier'!AE68=3,'Skattemæssig værdi af PA aktier'!P68,0)</f>
        <v>0</v>
      </c>
    </row>
    <row r="14" spans="1:8" ht="15" hidden="1" x14ac:dyDescent="0.25">
      <c r="C14" s="293">
        <f>IF('Skattemæssig værdi af PA aktier'!AE69=3,'Skattemæssig værdi af PA aktier'!P69,0)</f>
        <v>0</v>
      </c>
    </row>
    <row r="15" spans="1:8" ht="15" hidden="1" x14ac:dyDescent="0.25">
      <c r="C15" s="293">
        <f>IF('Skattemæssig værdi af PA aktier'!AE70=3,'Skattemæssig værdi af PA aktier'!P70,0)</f>
        <v>0</v>
      </c>
    </row>
    <row r="16" spans="1:8" ht="15" hidden="1" x14ac:dyDescent="0.25">
      <c r="C16" s="293">
        <f>IF('Skattemæssig værdi af PA aktier'!AE71=3,'Skattemæssig værdi af PA aktier'!P71,0)</f>
        <v>0</v>
      </c>
    </row>
    <row r="17" spans="1:8" ht="15" hidden="1" x14ac:dyDescent="0.25">
      <c r="C17" s="293">
        <f>IF('Skattemæssig værdi af PA aktier'!AE72=3,'Skattemæssig værdi af PA aktier'!P72,0)</f>
        <v>0</v>
      </c>
    </row>
    <row r="18" spans="1:8" ht="15" hidden="1" x14ac:dyDescent="0.25">
      <c r="C18" s="293">
        <f>IF('Skattemæssig værdi af PA aktier'!AE73=3,'Skattemæssig værdi af PA aktier'!P73,0)</f>
        <v>0</v>
      </c>
    </row>
    <row r="19" spans="1:8" ht="15" hidden="1" x14ac:dyDescent="0.25">
      <c r="C19" s="293">
        <f>IF('Skattemæssig værdi af PA aktier'!AE74=3,'Skattemæssig værdi af PA aktier'!P74,0)</f>
        <v>0</v>
      </c>
    </row>
    <row r="20" spans="1:8" ht="15" hidden="1" x14ac:dyDescent="0.25">
      <c r="C20" s="293">
        <f>IF('Skattemæssig værdi af PA aktier'!AE75=3,'Skattemæssig værdi af PA aktier'!P75,0)</f>
        <v>0</v>
      </c>
    </row>
    <row r="21" spans="1:8" ht="15" hidden="1" x14ac:dyDescent="0.25">
      <c r="C21" s="293">
        <f>IF('Skattemæssig værdi af PA aktier'!AE76=3,'Skattemæssig værdi af PA aktier'!P76,0)</f>
        <v>0</v>
      </c>
    </row>
    <row r="22" spans="1:8" ht="15" hidden="1" x14ac:dyDescent="0.25">
      <c r="C22" s="293">
        <f>IF('Skattemæssig værdi af PA aktier'!AE77=3,'Skattemæssig værdi af PA aktier'!P77,0)</f>
        <v>0</v>
      </c>
    </row>
    <row r="23" spans="1:8" ht="15" hidden="1" x14ac:dyDescent="0.25">
      <c r="C23" s="293">
        <f>IF('Skattemæssig værdi af PA aktier'!AE78=3,'Skattemæssig værdi af PA aktier'!P78,0)</f>
        <v>0</v>
      </c>
    </row>
    <row r="24" spans="1:8" ht="15" hidden="1" x14ac:dyDescent="0.25">
      <c r="C24" s="293">
        <f>IF('Skattemæssig værdi af PA aktier'!J90&gt;0,'Skattemæssig værdi af PA aktier'!J90,0)</f>
        <v>0</v>
      </c>
    </row>
    <row r="25" spans="1:8" ht="15" x14ac:dyDescent="0.25">
      <c r="A25" s="336"/>
      <c r="B25" s="334"/>
      <c r="C25" s="334"/>
      <c r="D25" s="334"/>
      <c r="E25" s="334"/>
      <c r="F25" s="334"/>
      <c r="G25" s="334"/>
      <c r="H25" s="337"/>
    </row>
    <row r="26" spans="1:8" x14ac:dyDescent="0.3">
      <c r="A26" s="336">
        <v>2015</v>
      </c>
      <c r="B26" s="295" t="s">
        <v>109</v>
      </c>
      <c r="C26" s="291">
        <f>SUM(C4:C24)</f>
        <v>0</v>
      </c>
      <c r="D26" s="334" t="s">
        <v>11</v>
      </c>
      <c r="E26" s="354" t="s">
        <v>313</v>
      </c>
      <c r="F26" s="334"/>
      <c r="G26" s="334"/>
      <c r="H26" s="337"/>
    </row>
    <row r="27" spans="1:8" ht="15" x14ac:dyDescent="0.25">
      <c r="A27" s="336"/>
      <c r="B27" s="335" t="s">
        <v>110</v>
      </c>
      <c r="C27" s="334"/>
      <c r="D27" s="334"/>
      <c r="E27" s="334"/>
      <c r="F27" s="334"/>
      <c r="G27" s="334"/>
      <c r="H27" s="337"/>
    </row>
    <row r="28" spans="1:8" ht="15" x14ac:dyDescent="0.25">
      <c r="A28" s="336"/>
      <c r="B28" s="334"/>
      <c r="C28" s="334"/>
      <c r="D28" s="334"/>
      <c r="E28" s="334"/>
      <c r="F28" s="334"/>
      <c r="G28" s="334"/>
      <c r="H28" s="337"/>
    </row>
    <row r="29" spans="1:8" x14ac:dyDescent="0.3">
      <c r="A29" s="336">
        <v>2015</v>
      </c>
      <c r="B29" s="295" t="s">
        <v>118</v>
      </c>
      <c r="C29" s="363">
        <v>0</v>
      </c>
      <c r="D29" s="334" t="s">
        <v>11</v>
      </c>
      <c r="E29" s="354" t="s">
        <v>314</v>
      </c>
      <c r="F29" s="334"/>
      <c r="G29" s="334"/>
      <c r="H29" s="337"/>
    </row>
    <row r="30" spans="1:8" ht="15" x14ac:dyDescent="0.25">
      <c r="A30" s="336"/>
      <c r="B30" s="335" t="s">
        <v>112</v>
      </c>
      <c r="C30" s="334"/>
      <c r="D30" s="334"/>
      <c r="E30" s="334"/>
      <c r="F30" s="334"/>
      <c r="G30" s="334"/>
      <c r="H30" s="337"/>
    </row>
    <row r="31" spans="1:8" ht="15" x14ac:dyDescent="0.25">
      <c r="A31" s="336"/>
      <c r="B31" s="334"/>
      <c r="C31" s="334"/>
      <c r="D31" s="334"/>
      <c r="E31" s="334"/>
      <c r="F31" s="334"/>
      <c r="G31" s="334"/>
      <c r="H31" s="337"/>
    </row>
    <row r="32" spans="1:8" ht="15" x14ac:dyDescent="0.25">
      <c r="A32" s="344">
        <v>2015</v>
      </c>
      <c r="B32" s="340" t="s">
        <v>119</v>
      </c>
      <c r="C32" s="339">
        <f>C26+C29</f>
        <v>0</v>
      </c>
      <c r="D32" s="340" t="s">
        <v>11</v>
      </c>
      <c r="E32" s="341" t="s">
        <v>315</v>
      </c>
      <c r="F32" s="341"/>
      <c r="G32" s="341"/>
      <c r="H32" s="347"/>
    </row>
    <row r="33" spans="1:9" ht="15" thickBot="1" x14ac:dyDescent="0.35">
      <c r="A33" s="345"/>
      <c r="B33" s="346" t="s">
        <v>120</v>
      </c>
      <c r="C33" s="342" t="s">
        <v>108</v>
      </c>
      <c r="D33" s="343"/>
      <c r="E33" s="343"/>
      <c r="F33" s="343"/>
      <c r="G33" s="343"/>
      <c r="H33" s="348"/>
    </row>
    <row r="34" spans="1:9" ht="15.75" thickTop="1" x14ac:dyDescent="0.25">
      <c r="A34" s="294"/>
      <c r="B34" s="305"/>
      <c r="C34" s="306"/>
      <c r="D34" s="306"/>
      <c r="E34" s="306"/>
      <c r="F34" s="306"/>
      <c r="G34" s="306"/>
      <c r="H34" s="294"/>
      <c r="I34" s="294"/>
    </row>
    <row r="35" spans="1:9" ht="15.75" thickBot="1" x14ac:dyDescent="0.3">
      <c r="A35" s="308" t="s">
        <v>235</v>
      </c>
      <c r="B35" s="294"/>
      <c r="C35" s="294"/>
      <c r="D35" s="294"/>
      <c r="E35" s="294"/>
      <c r="F35" s="294"/>
      <c r="G35" s="294"/>
      <c r="H35" s="294"/>
      <c r="I35" s="294"/>
    </row>
    <row r="36" spans="1:9" ht="15.75" thickTop="1" x14ac:dyDescent="0.25">
      <c r="A36" s="321" t="s">
        <v>281</v>
      </c>
      <c r="B36" s="322"/>
      <c r="C36" s="322"/>
      <c r="D36" s="322"/>
      <c r="E36" s="322"/>
      <c r="F36" s="322"/>
      <c r="G36" s="322"/>
      <c r="H36" s="323"/>
      <c r="I36" s="294"/>
    </row>
    <row r="37" spans="1:9" x14ac:dyDescent="0.3">
      <c r="A37" s="324" t="s">
        <v>280</v>
      </c>
      <c r="B37" s="309"/>
      <c r="C37" s="309"/>
      <c r="D37" s="309"/>
      <c r="E37" s="309"/>
      <c r="F37" s="309"/>
      <c r="G37" s="309"/>
      <c r="H37" s="325"/>
      <c r="I37" s="294"/>
    </row>
    <row r="38" spans="1:9" ht="15" x14ac:dyDescent="0.25">
      <c r="A38" s="326"/>
      <c r="B38" s="309"/>
      <c r="C38" s="365" t="s">
        <v>107</v>
      </c>
      <c r="D38" s="364" t="s">
        <v>234</v>
      </c>
      <c r="E38" s="309"/>
      <c r="F38" s="309"/>
      <c r="G38" s="309"/>
      <c r="H38" s="325"/>
    </row>
    <row r="39" spans="1:9" ht="15" x14ac:dyDescent="0.25">
      <c r="A39" s="326"/>
      <c r="B39" s="309" t="s">
        <v>283</v>
      </c>
      <c r="C39" s="312">
        <f>IF(C32&lt;0,MAX(-99800,C32),MIN(C32,99800))</f>
        <v>0</v>
      </c>
      <c r="D39" s="311">
        <f>ROUND(C39*27%,2)</f>
        <v>0</v>
      </c>
      <c r="E39" s="309"/>
      <c r="F39" s="309"/>
      <c r="G39" s="309"/>
      <c r="H39" s="325"/>
    </row>
    <row r="40" spans="1:9" ht="15" x14ac:dyDescent="0.25">
      <c r="A40" s="326"/>
      <c r="B40" s="310" t="s">
        <v>284</v>
      </c>
      <c r="C40" s="309"/>
      <c r="D40" s="311"/>
      <c r="E40" s="309"/>
      <c r="F40" s="309"/>
      <c r="G40" s="309"/>
      <c r="H40" s="325"/>
    </row>
    <row r="41" spans="1:9" ht="15" x14ac:dyDescent="0.25">
      <c r="A41" s="326"/>
      <c r="B41" s="309" t="s">
        <v>285</v>
      </c>
      <c r="C41" s="312">
        <f>IF(C32&lt;-99800,99800+C32,IF(C32&lt;=99800,0,C32-99800))</f>
        <v>0</v>
      </c>
      <c r="D41" s="312">
        <f>ROUND(C41*42%,2)</f>
        <v>0</v>
      </c>
      <c r="E41" s="309"/>
      <c r="F41" s="309"/>
      <c r="G41" s="309"/>
      <c r="H41" s="325"/>
    </row>
    <row r="42" spans="1:9" ht="15" x14ac:dyDescent="0.25">
      <c r="A42" s="327"/>
      <c r="B42" s="310" t="s">
        <v>286</v>
      </c>
      <c r="C42" s="309"/>
      <c r="D42" s="312"/>
      <c r="E42" s="309"/>
      <c r="F42" s="309"/>
      <c r="G42" s="313"/>
      <c r="H42" s="328"/>
    </row>
    <row r="43" spans="1:9" ht="15" x14ac:dyDescent="0.25">
      <c r="A43" s="327"/>
      <c r="B43" s="320" t="s">
        <v>89</v>
      </c>
      <c r="C43" s="309"/>
      <c r="D43" s="319">
        <f>SUM(D39:D42)</f>
        <v>0</v>
      </c>
      <c r="E43" s="309"/>
      <c r="F43" s="313"/>
      <c r="G43" s="313"/>
      <c r="H43" s="328"/>
    </row>
    <row r="44" spans="1:9" x14ac:dyDescent="0.3">
      <c r="A44" s="327"/>
      <c r="B44" s="314" t="s">
        <v>91</v>
      </c>
      <c r="C44" s="313"/>
      <c r="D44" s="294"/>
      <c r="E44" s="313"/>
      <c r="F44" s="313"/>
      <c r="G44" s="313"/>
      <c r="H44" s="328"/>
    </row>
    <row r="45" spans="1:9" x14ac:dyDescent="0.3">
      <c r="A45" s="329"/>
      <c r="B45" s="315"/>
      <c r="C45" s="316"/>
      <c r="D45" s="315"/>
      <c r="E45" s="317"/>
      <c r="F45" s="317"/>
      <c r="G45" s="317"/>
      <c r="H45" s="328"/>
    </row>
    <row r="46" spans="1:9" x14ac:dyDescent="0.3">
      <c r="A46" s="326" t="s">
        <v>287</v>
      </c>
      <c r="B46" s="309"/>
      <c r="C46" s="313"/>
      <c r="D46" s="313"/>
      <c r="E46" s="317"/>
      <c r="F46" s="317"/>
      <c r="G46" s="317"/>
      <c r="H46" s="328"/>
    </row>
    <row r="47" spans="1:9" x14ac:dyDescent="0.3">
      <c r="A47" s="330" t="s">
        <v>288</v>
      </c>
      <c r="B47" s="314"/>
      <c r="C47" s="316"/>
      <c r="D47" s="315"/>
      <c r="E47" s="313"/>
      <c r="F47" s="313"/>
      <c r="G47" s="313"/>
      <c r="H47" s="328"/>
    </row>
    <row r="48" spans="1:9" x14ac:dyDescent="0.3">
      <c r="A48" s="327"/>
      <c r="B48" s="318"/>
      <c r="C48" s="313"/>
      <c r="D48" s="313"/>
      <c r="E48" s="313"/>
      <c r="F48" s="313"/>
      <c r="G48" s="313"/>
      <c r="H48" s="328"/>
    </row>
    <row r="49" spans="1:8" x14ac:dyDescent="0.3">
      <c r="A49" s="327" t="s">
        <v>100</v>
      </c>
      <c r="B49" s="313"/>
      <c r="C49" s="313"/>
      <c r="D49" s="313"/>
      <c r="E49" s="313"/>
      <c r="F49" s="313"/>
      <c r="G49" s="313"/>
      <c r="H49" s="328"/>
    </row>
    <row r="50" spans="1:8" ht="15" thickBot="1" x14ac:dyDescent="0.35">
      <c r="A50" s="331" t="s">
        <v>93</v>
      </c>
      <c r="B50" s="332"/>
      <c r="C50" s="332"/>
      <c r="D50" s="332"/>
      <c r="E50" s="332"/>
      <c r="F50" s="332"/>
      <c r="G50" s="332"/>
      <c r="H50" s="333"/>
    </row>
    <row r="51" spans="1:8" ht="15" thickTop="1" x14ac:dyDescent="0.3"/>
  </sheetData>
  <pageMargins left="0.70866141732283472" right="0.70866141732283472" top="0.74803149606299213" bottom="0.74803149606299213" header="0.31496062992125984" footer="0.31496062992125984"/>
  <pageSetup paperSize="9" scale="56" orientation="portrait" r:id="rId1"/>
  <headerFooter>
    <oddFooter>&amp;LPA has made every effort to provide detailed share records and this calculator to you.   It remains however your personal responsibility to report your share income on your tax returns.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zoomScale="120" zoomScaleNormal="120" workbookViewId="0"/>
  </sheetViews>
  <sheetFormatPr defaultRowHeight="14.4" x14ac:dyDescent="0.3"/>
  <cols>
    <col min="1" max="1" width="15.88671875" customWidth="1"/>
    <col min="2" max="2" width="56.44140625" customWidth="1"/>
    <col min="3" max="3" width="17.5546875" customWidth="1"/>
    <col min="4" max="4" width="13" customWidth="1"/>
    <col min="5" max="6" width="10.6640625" customWidth="1"/>
    <col min="7" max="7" width="22.5546875" customWidth="1"/>
    <col min="10" max="12" width="0" hidden="1" customWidth="1"/>
  </cols>
  <sheetData>
    <row r="1" spans="1:8" ht="20.25" thickTop="1" thickBot="1" x14ac:dyDescent="0.35">
      <c r="A1" s="83" t="s">
        <v>278</v>
      </c>
    </row>
    <row r="2" spans="1:8" ht="15" thickTop="1" x14ac:dyDescent="0.3">
      <c r="A2" s="163" t="s">
        <v>13</v>
      </c>
      <c r="B2" s="164" t="s">
        <v>14</v>
      </c>
      <c r="C2" s="164" t="s">
        <v>15</v>
      </c>
      <c r="D2" s="164" t="s">
        <v>16</v>
      </c>
      <c r="E2" s="164"/>
      <c r="F2" s="164"/>
      <c r="G2" s="164"/>
      <c r="H2" s="165"/>
    </row>
    <row r="3" spans="1:8" ht="15" x14ac:dyDescent="0.25">
      <c r="A3" s="166"/>
      <c r="B3" s="152"/>
      <c r="C3" s="152"/>
      <c r="D3" s="152"/>
      <c r="E3" s="152"/>
      <c r="F3" s="152"/>
      <c r="G3" s="152"/>
      <c r="H3" s="167"/>
    </row>
    <row r="4" spans="1:8" s="293" customFormat="1" ht="15" hidden="1" x14ac:dyDescent="0.25">
      <c r="C4" s="293">
        <f>IF('Skattemæssig værdi af PA aktier'!Z59=3,'Skattemæssig værdi af PA aktier'!P59,0)</f>
        <v>0</v>
      </c>
    </row>
    <row r="5" spans="1:8" s="293" customFormat="1" ht="15" hidden="1" x14ac:dyDescent="0.25">
      <c r="C5" s="293">
        <f>IF('Skattemæssig værdi af PA aktier'!Z60=3,'Skattemæssig værdi af PA aktier'!P60,0)</f>
        <v>0</v>
      </c>
    </row>
    <row r="6" spans="1:8" s="293" customFormat="1" ht="15" hidden="1" x14ac:dyDescent="0.25">
      <c r="C6" s="293">
        <f>IF('Skattemæssig værdi af PA aktier'!Z61=3,'Skattemæssig værdi af PA aktier'!P61,0)</f>
        <v>0</v>
      </c>
    </row>
    <row r="7" spans="1:8" s="293" customFormat="1" ht="15" hidden="1" x14ac:dyDescent="0.25">
      <c r="C7" s="293">
        <f>IF('Skattemæssig værdi af PA aktier'!Z62=3,'Skattemæssig værdi af PA aktier'!P62,0)</f>
        <v>0</v>
      </c>
    </row>
    <row r="8" spans="1:8" s="293" customFormat="1" ht="15" hidden="1" x14ac:dyDescent="0.25">
      <c r="C8" s="293">
        <f>IF('Skattemæssig værdi af PA aktier'!Z63=3,'Skattemæssig værdi af PA aktier'!P63,0)</f>
        <v>0</v>
      </c>
    </row>
    <row r="9" spans="1:8" s="293" customFormat="1" ht="15" hidden="1" x14ac:dyDescent="0.25">
      <c r="C9" s="293">
        <f>IF('Skattemæssig værdi af PA aktier'!Z64=3,'Skattemæssig værdi af PA aktier'!P64,0)</f>
        <v>0</v>
      </c>
    </row>
    <row r="10" spans="1:8" s="293" customFormat="1" ht="15" hidden="1" x14ac:dyDescent="0.25">
      <c r="C10" s="293">
        <f>IF('Skattemæssig værdi af PA aktier'!Z65=3,'Skattemæssig værdi af PA aktier'!P65,0)</f>
        <v>0</v>
      </c>
    </row>
    <row r="11" spans="1:8" s="293" customFormat="1" ht="15" hidden="1" x14ac:dyDescent="0.25">
      <c r="C11" s="293">
        <f>IF('Skattemæssig værdi af PA aktier'!Z66=3,'Skattemæssig værdi af PA aktier'!P66,0)</f>
        <v>0</v>
      </c>
    </row>
    <row r="12" spans="1:8" s="293" customFormat="1" ht="15" hidden="1" x14ac:dyDescent="0.25">
      <c r="C12" s="293">
        <f>IF('Skattemæssig værdi af PA aktier'!Z67=3,'Skattemæssig værdi af PA aktier'!P67,0)</f>
        <v>0</v>
      </c>
    </row>
    <row r="13" spans="1:8" s="293" customFormat="1" ht="15" hidden="1" x14ac:dyDescent="0.25">
      <c r="C13" s="293">
        <f>IF('Skattemæssig værdi af PA aktier'!Z68=3,'Skattemæssig værdi af PA aktier'!P68,0)</f>
        <v>0</v>
      </c>
    </row>
    <row r="14" spans="1:8" s="293" customFormat="1" ht="15" hidden="1" x14ac:dyDescent="0.25">
      <c r="C14" s="293">
        <f>IF('Skattemæssig værdi af PA aktier'!Z69=3,'Skattemæssig værdi af PA aktier'!P69,0)</f>
        <v>0</v>
      </c>
    </row>
    <row r="15" spans="1:8" s="293" customFormat="1" ht="15" hidden="1" x14ac:dyDescent="0.25">
      <c r="C15" s="293">
        <f>IF('Skattemæssig værdi af PA aktier'!Z70=3,'Skattemæssig værdi af PA aktier'!P70,0)</f>
        <v>0</v>
      </c>
    </row>
    <row r="16" spans="1:8" s="293" customFormat="1" ht="15" hidden="1" x14ac:dyDescent="0.25">
      <c r="C16" s="293">
        <f>IF('Skattemæssig værdi af PA aktier'!Z71=3,'Skattemæssig værdi af PA aktier'!P71,0)</f>
        <v>0</v>
      </c>
    </row>
    <row r="17" spans="1:8" s="293" customFormat="1" ht="15" hidden="1" x14ac:dyDescent="0.25">
      <c r="C17" s="293">
        <f>IF('Skattemæssig værdi af PA aktier'!Z72=3,'Skattemæssig værdi af PA aktier'!P72,0)</f>
        <v>0</v>
      </c>
    </row>
    <row r="18" spans="1:8" s="293" customFormat="1" ht="15" hidden="1" x14ac:dyDescent="0.25">
      <c r="C18" s="293">
        <f>IF('Skattemæssig værdi af PA aktier'!Z73=3,'Skattemæssig værdi af PA aktier'!P73,0)</f>
        <v>0</v>
      </c>
    </row>
    <row r="19" spans="1:8" s="293" customFormat="1" ht="15" hidden="1" x14ac:dyDescent="0.25">
      <c r="C19" s="293">
        <f>IF('Skattemæssig værdi af PA aktier'!Z74=3,'Skattemæssig værdi af PA aktier'!P74,0)</f>
        <v>0</v>
      </c>
    </row>
    <row r="20" spans="1:8" s="293" customFormat="1" ht="15" hidden="1" x14ac:dyDescent="0.25">
      <c r="C20" s="293">
        <f>IF('Skattemæssig værdi af PA aktier'!Z75=3,'Skattemæssig værdi af PA aktier'!P75,0)</f>
        <v>0</v>
      </c>
    </row>
    <row r="21" spans="1:8" s="293" customFormat="1" ht="15" hidden="1" x14ac:dyDescent="0.25">
      <c r="C21" s="293">
        <f>IF('Skattemæssig værdi af PA aktier'!Z76=3,'Skattemæssig værdi af PA aktier'!P76,0)</f>
        <v>0</v>
      </c>
    </row>
    <row r="22" spans="1:8" s="293" customFormat="1" ht="15" hidden="1" x14ac:dyDescent="0.25">
      <c r="C22" s="293">
        <f>IF('Skattemæssig værdi af PA aktier'!Z77=3,'Skattemæssig værdi af PA aktier'!P77,0)</f>
        <v>0</v>
      </c>
    </row>
    <row r="23" spans="1:8" s="293" customFormat="1" ht="15" hidden="1" x14ac:dyDescent="0.25">
      <c r="C23" s="293">
        <f>IF('Skattemæssig værdi af PA aktier'!Z78=3,'Skattemæssig værdi af PA aktier'!P78,0)</f>
        <v>0</v>
      </c>
    </row>
    <row r="24" spans="1:8" ht="15" x14ac:dyDescent="0.25">
      <c r="A24" s="150"/>
      <c r="B24" s="148"/>
      <c r="C24" s="148"/>
      <c r="D24" s="148"/>
      <c r="E24" s="148"/>
      <c r="F24" s="148"/>
      <c r="G24" s="148"/>
      <c r="H24" s="151"/>
    </row>
    <row r="25" spans="1:8" x14ac:dyDescent="0.3">
      <c r="A25" s="150">
        <v>2014</v>
      </c>
      <c r="B25" s="52" t="s">
        <v>109</v>
      </c>
      <c r="C25" s="291">
        <f>SUM(C4:C23)</f>
        <v>0</v>
      </c>
      <c r="D25" s="148" t="s">
        <v>11</v>
      </c>
      <c r="E25" s="168" t="s">
        <v>313</v>
      </c>
      <c r="F25" s="148"/>
      <c r="G25" s="148"/>
      <c r="H25" s="151"/>
    </row>
    <row r="26" spans="1:8" ht="15" x14ac:dyDescent="0.25">
      <c r="A26" s="150"/>
      <c r="B26" s="149" t="s">
        <v>110</v>
      </c>
      <c r="C26" s="148"/>
      <c r="D26" s="148"/>
      <c r="E26" s="148"/>
      <c r="F26" s="148"/>
      <c r="G26" s="148"/>
      <c r="H26" s="151"/>
    </row>
    <row r="27" spans="1:8" ht="15" x14ac:dyDescent="0.25">
      <c r="A27" s="150"/>
      <c r="B27" s="148"/>
      <c r="C27" s="148"/>
      <c r="D27" s="148"/>
      <c r="E27" s="148"/>
      <c r="F27" s="148"/>
      <c r="G27" s="148"/>
      <c r="H27" s="151"/>
    </row>
    <row r="28" spans="1:8" x14ac:dyDescent="0.3">
      <c r="A28" s="150">
        <v>2014</v>
      </c>
      <c r="B28" s="52" t="s">
        <v>118</v>
      </c>
      <c r="C28" s="193">
        <v>0</v>
      </c>
      <c r="D28" s="148" t="s">
        <v>11</v>
      </c>
      <c r="E28" s="168" t="s">
        <v>314</v>
      </c>
      <c r="F28" s="148"/>
      <c r="G28" s="148"/>
      <c r="H28" s="151"/>
    </row>
    <row r="29" spans="1:8" ht="15" x14ac:dyDescent="0.25">
      <c r="A29" s="150"/>
      <c r="B29" s="149" t="s">
        <v>112</v>
      </c>
      <c r="C29" s="148"/>
      <c r="D29" s="148"/>
      <c r="E29" s="148"/>
      <c r="F29" s="148"/>
      <c r="G29" s="148"/>
      <c r="H29" s="151"/>
    </row>
    <row r="30" spans="1:8" ht="15" x14ac:dyDescent="0.25">
      <c r="A30" s="150"/>
      <c r="B30" s="148"/>
      <c r="C30" s="148"/>
      <c r="D30" s="148"/>
      <c r="E30" s="148"/>
      <c r="F30" s="148"/>
      <c r="G30" s="148"/>
      <c r="H30" s="151"/>
    </row>
    <row r="31" spans="1:8" ht="15" x14ac:dyDescent="0.25">
      <c r="A31" s="158">
        <v>2014</v>
      </c>
      <c r="B31" s="154" t="s">
        <v>119</v>
      </c>
      <c r="C31" s="153">
        <f>C25+C28</f>
        <v>0</v>
      </c>
      <c r="D31" s="154" t="s">
        <v>11</v>
      </c>
      <c r="E31" s="155" t="s">
        <v>315</v>
      </c>
      <c r="F31" s="155"/>
      <c r="G31" s="155"/>
      <c r="H31" s="161"/>
    </row>
    <row r="32" spans="1:8" ht="15" thickBot="1" x14ac:dyDescent="0.35">
      <c r="A32" s="159"/>
      <c r="B32" s="160" t="s">
        <v>120</v>
      </c>
      <c r="C32" s="156" t="s">
        <v>108</v>
      </c>
      <c r="D32" s="157"/>
      <c r="E32" s="157"/>
      <c r="F32" s="157"/>
      <c r="G32" s="157"/>
      <c r="H32" s="162"/>
    </row>
    <row r="33" spans="1:9" ht="15.75" thickTop="1" x14ac:dyDescent="0.25">
      <c r="A33" s="12"/>
      <c r="B33" s="72"/>
      <c r="C33" s="73"/>
      <c r="D33" s="73"/>
      <c r="E33" s="73"/>
      <c r="F33" s="73"/>
      <c r="G33" s="73"/>
      <c r="H33" s="12"/>
      <c r="I33" s="12"/>
    </row>
    <row r="34" spans="1:9" ht="15.75" thickBot="1" x14ac:dyDescent="0.3">
      <c r="A34" s="107" t="s">
        <v>235</v>
      </c>
      <c r="B34" s="12"/>
      <c r="C34" s="12"/>
      <c r="D34" s="12"/>
      <c r="E34" s="12"/>
      <c r="F34" s="12"/>
      <c r="G34" s="12"/>
      <c r="H34" s="12"/>
      <c r="I34" s="12"/>
    </row>
    <row r="35" spans="1:9" ht="15.75" thickTop="1" x14ac:dyDescent="0.25">
      <c r="A35" s="125" t="s">
        <v>279</v>
      </c>
      <c r="B35" s="126"/>
      <c r="C35" s="126"/>
      <c r="D35" s="126"/>
      <c r="E35" s="126"/>
      <c r="F35" s="126"/>
      <c r="G35" s="126"/>
      <c r="H35" s="127"/>
      <c r="I35" s="12"/>
    </row>
    <row r="36" spans="1:9" x14ac:dyDescent="0.3">
      <c r="A36" s="128" t="s">
        <v>280</v>
      </c>
      <c r="B36" s="113"/>
      <c r="C36" s="113"/>
      <c r="D36" s="113"/>
      <c r="E36" s="113"/>
      <c r="F36" s="113"/>
      <c r="G36" s="113"/>
      <c r="H36" s="129"/>
      <c r="I36" s="12"/>
    </row>
    <row r="37" spans="1:9" ht="15" x14ac:dyDescent="0.25">
      <c r="A37" s="130"/>
      <c r="B37" s="113"/>
      <c r="C37" s="254" t="s">
        <v>107</v>
      </c>
      <c r="D37" s="253" t="s">
        <v>234</v>
      </c>
      <c r="E37" s="113"/>
      <c r="F37" s="113"/>
      <c r="G37" s="113"/>
      <c r="H37" s="129"/>
    </row>
    <row r="38" spans="1:9" ht="15" x14ac:dyDescent="0.25">
      <c r="A38" s="130"/>
      <c r="B38" s="113" t="s">
        <v>291</v>
      </c>
      <c r="C38" s="116">
        <f>IF(C31&lt;0,MAX(-98400,C31),MIN(C31,98400))</f>
        <v>0</v>
      </c>
      <c r="D38" s="115">
        <f>ROUND(C38*27%,2)</f>
        <v>0</v>
      </c>
      <c r="E38" s="113"/>
      <c r="F38" s="113"/>
      <c r="G38" s="113"/>
      <c r="H38" s="129"/>
    </row>
    <row r="39" spans="1:9" ht="15" x14ac:dyDescent="0.25">
      <c r="A39" s="130"/>
      <c r="B39" s="114" t="s">
        <v>294</v>
      </c>
      <c r="C39" s="113"/>
      <c r="D39" s="115"/>
      <c r="E39" s="113"/>
      <c r="F39" s="113"/>
      <c r="G39" s="113"/>
      <c r="H39" s="129"/>
    </row>
    <row r="40" spans="1:9" ht="15" x14ac:dyDescent="0.25">
      <c r="A40" s="130"/>
      <c r="B40" s="113" t="s">
        <v>292</v>
      </c>
      <c r="C40" s="116">
        <f>IF(C31&lt;-98400,98400+C31,IF(C31&lt;=98400,0,C31-98400))</f>
        <v>0</v>
      </c>
      <c r="D40" s="116">
        <f>ROUND(C40*42%,2)</f>
        <v>0</v>
      </c>
      <c r="E40" s="113"/>
      <c r="F40" s="113"/>
      <c r="G40" s="113"/>
      <c r="H40" s="129"/>
    </row>
    <row r="41" spans="1:9" ht="15" x14ac:dyDescent="0.25">
      <c r="A41" s="131"/>
      <c r="B41" s="114" t="s">
        <v>293</v>
      </c>
      <c r="C41" s="113"/>
      <c r="D41" s="116"/>
      <c r="E41" s="113"/>
      <c r="F41" s="113"/>
      <c r="G41" s="117"/>
      <c r="H41" s="132"/>
    </row>
    <row r="42" spans="1:9" ht="15" x14ac:dyDescent="0.25">
      <c r="A42" s="131"/>
      <c r="B42" s="124" t="s">
        <v>89</v>
      </c>
      <c r="C42" s="113"/>
      <c r="D42" s="123">
        <f>SUM(D38:D41)</f>
        <v>0</v>
      </c>
      <c r="E42" s="113"/>
      <c r="F42" s="117"/>
      <c r="G42" s="117"/>
      <c r="H42" s="132"/>
    </row>
    <row r="43" spans="1:9" x14ac:dyDescent="0.3">
      <c r="A43" s="131"/>
      <c r="B43" s="118" t="s">
        <v>91</v>
      </c>
      <c r="C43" s="117"/>
      <c r="D43" s="12"/>
      <c r="E43" s="117"/>
      <c r="F43" s="117"/>
      <c r="G43" s="117"/>
      <c r="H43" s="132"/>
    </row>
    <row r="44" spans="1:9" x14ac:dyDescent="0.3">
      <c r="A44" s="133"/>
      <c r="B44" s="119"/>
      <c r="C44" s="120"/>
      <c r="D44" s="119"/>
      <c r="E44" s="121"/>
      <c r="F44" s="121"/>
      <c r="G44" s="121"/>
      <c r="H44" s="132"/>
    </row>
    <row r="45" spans="1:9" x14ac:dyDescent="0.3">
      <c r="A45" s="130" t="s">
        <v>289</v>
      </c>
      <c r="B45" s="113"/>
      <c r="C45" s="117"/>
      <c r="D45" s="117"/>
      <c r="E45" s="121"/>
      <c r="F45" s="121"/>
      <c r="G45" s="121"/>
      <c r="H45" s="132"/>
    </row>
    <row r="46" spans="1:9" x14ac:dyDescent="0.3">
      <c r="A46" s="134" t="s">
        <v>290</v>
      </c>
      <c r="B46" s="118"/>
      <c r="C46" s="120"/>
      <c r="D46" s="119"/>
      <c r="E46" s="117"/>
      <c r="F46" s="117"/>
      <c r="G46" s="117"/>
      <c r="H46" s="132"/>
    </row>
    <row r="47" spans="1:9" x14ac:dyDescent="0.3">
      <c r="A47" s="131"/>
      <c r="B47" s="122"/>
      <c r="C47" s="117"/>
      <c r="D47" s="117"/>
      <c r="E47" s="117"/>
      <c r="F47" s="117"/>
      <c r="G47" s="117"/>
      <c r="H47" s="132"/>
    </row>
    <row r="48" spans="1:9" x14ac:dyDescent="0.3">
      <c r="A48" s="131" t="s">
        <v>100</v>
      </c>
      <c r="B48" s="117"/>
      <c r="C48" s="117"/>
      <c r="D48" s="117"/>
      <c r="E48" s="117"/>
      <c r="F48" s="117"/>
      <c r="G48" s="117"/>
      <c r="H48" s="132"/>
    </row>
    <row r="49" spans="1:8" ht="15" thickBot="1" x14ac:dyDescent="0.35">
      <c r="A49" s="135" t="s">
        <v>93</v>
      </c>
      <c r="B49" s="136"/>
      <c r="C49" s="136"/>
      <c r="D49" s="136"/>
      <c r="E49" s="136"/>
      <c r="F49" s="136"/>
      <c r="G49" s="136"/>
      <c r="H49" s="137"/>
    </row>
    <row r="50" spans="1:8" ht="15" thickTop="1" x14ac:dyDescent="0.3"/>
  </sheetData>
  <pageMargins left="0.70866141732283472" right="0.70866141732283472" top="0.74803149606299213" bottom="0.74803149606299213" header="0.31496062992125984" footer="0.31496062992125984"/>
  <pageSetup paperSize="9" scale="56" orientation="portrait" r:id="rId1"/>
  <headerFooter>
    <oddFooter>&amp;LPA has made every effort to provide detailed share records and this calculator to you.   It remains however your personal responsibility to report your share income on your tax returns.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1"/>
  <sheetViews>
    <sheetView zoomScale="120" zoomScaleNormal="120" workbookViewId="0"/>
  </sheetViews>
  <sheetFormatPr defaultRowHeight="14.4" x14ac:dyDescent="0.3"/>
  <cols>
    <col min="1" max="1" width="15.88671875" customWidth="1"/>
    <col min="2" max="2" width="56.44140625" customWidth="1"/>
    <col min="3" max="3" width="17.5546875" customWidth="1"/>
    <col min="4" max="4" width="13" customWidth="1"/>
    <col min="5" max="6" width="10.6640625" customWidth="1"/>
    <col min="7" max="7" width="22.5546875" customWidth="1"/>
    <col min="10" max="12" width="0" hidden="1" customWidth="1"/>
  </cols>
  <sheetData>
    <row r="1" spans="1:8" ht="18.600000000000001" thickTop="1" x14ac:dyDescent="0.35">
      <c r="A1" s="83" t="s">
        <v>63</v>
      </c>
      <c r="B1" s="84"/>
      <c r="C1" s="84"/>
      <c r="D1" s="84"/>
      <c r="E1" s="84"/>
      <c r="F1" s="84"/>
      <c r="G1" s="84"/>
      <c r="H1" s="85"/>
    </row>
    <row r="2" spans="1:8" ht="15" x14ac:dyDescent="0.25">
      <c r="A2" s="86" t="s">
        <v>64</v>
      </c>
      <c r="B2" s="12"/>
      <c r="C2" s="12"/>
      <c r="D2" s="12"/>
      <c r="E2" s="12"/>
      <c r="F2" s="12"/>
      <c r="G2" s="12"/>
      <c r="H2" s="87"/>
    </row>
    <row r="3" spans="1:8" ht="6.75" customHeight="1" x14ac:dyDescent="0.25">
      <c r="A3" s="86"/>
      <c r="B3" s="12"/>
      <c r="C3" s="12"/>
      <c r="D3" s="12"/>
      <c r="E3" s="12"/>
      <c r="F3" s="12"/>
      <c r="G3" s="12"/>
      <c r="H3" s="87"/>
    </row>
    <row r="4" spans="1:8" x14ac:dyDescent="0.3">
      <c r="A4" s="88" t="s">
        <v>29</v>
      </c>
      <c r="B4" s="12"/>
      <c r="C4" s="12"/>
      <c r="D4" s="12"/>
      <c r="E4" s="12"/>
      <c r="F4" s="12"/>
      <c r="G4" s="12"/>
      <c r="H4" s="87"/>
    </row>
    <row r="5" spans="1:8" ht="15" x14ac:dyDescent="0.25">
      <c r="A5" s="88" t="s">
        <v>30</v>
      </c>
      <c r="B5" s="12"/>
      <c r="C5" s="12"/>
      <c r="D5" s="12"/>
      <c r="E5" s="12"/>
      <c r="F5" s="12"/>
      <c r="G5" s="12"/>
      <c r="H5" s="87"/>
    </row>
    <row r="6" spans="1:8" ht="10.5" customHeight="1" thickBot="1" x14ac:dyDescent="0.3">
      <c r="A6" s="86"/>
      <c r="B6" s="12"/>
      <c r="C6" s="12"/>
      <c r="D6" s="12"/>
      <c r="E6" s="12"/>
      <c r="F6" s="12"/>
      <c r="G6" s="12"/>
      <c r="H6" s="87"/>
    </row>
    <row r="7" spans="1:8" ht="15" x14ac:dyDescent="0.25">
      <c r="A7" s="89"/>
      <c r="B7" s="74"/>
      <c r="C7" s="74"/>
      <c r="D7" s="74" t="s">
        <v>9</v>
      </c>
      <c r="E7" s="75" t="s">
        <v>10</v>
      </c>
      <c r="F7" s="74" t="s">
        <v>11</v>
      </c>
      <c r="G7" s="74" t="s">
        <v>11</v>
      </c>
      <c r="H7" s="90"/>
    </row>
    <row r="8" spans="1:8" x14ac:dyDescent="0.3">
      <c r="A8" s="91" t="s">
        <v>0</v>
      </c>
      <c r="B8" s="77" t="s">
        <v>1</v>
      </c>
      <c r="C8" s="77" t="s">
        <v>2</v>
      </c>
      <c r="D8" s="77" t="s">
        <v>3</v>
      </c>
      <c r="E8" s="77" t="s">
        <v>5</v>
      </c>
      <c r="F8" s="77" t="s">
        <v>3</v>
      </c>
      <c r="G8" s="77" t="s">
        <v>17</v>
      </c>
      <c r="H8" s="92"/>
    </row>
    <row r="9" spans="1:8" ht="23.25" thickBot="1" x14ac:dyDescent="0.3">
      <c r="A9" s="93"/>
      <c r="B9" s="78"/>
      <c r="C9" s="79"/>
      <c r="D9" s="80" t="s">
        <v>25</v>
      </c>
      <c r="E9" s="80" t="s">
        <v>57</v>
      </c>
      <c r="F9" s="80"/>
      <c r="G9" s="81" t="s">
        <v>24</v>
      </c>
      <c r="H9" s="94"/>
    </row>
    <row r="10" spans="1:8" ht="15" x14ac:dyDescent="0.25">
      <c r="A10" s="95">
        <v>39623</v>
      </c>
      <c r="B10" s="71" t="s">
        <v>66</v>
      </c>
      <c r="C10" s="12"/>
      <c r="D10" s="12"/>
      <c r="E10" s="12"/>
      <c r="F10" s="12"/>
      <c r="G10" s="12"/>
      <c r="H10" s="87"/>
    </row>
    <row r="11" spans="1:8" x14ac:dyDescent="0.3">
      <c r="A11" s="95"/>
      <c r="B11" s="18" t="s">
        <v>67</v>
      </c>
      <c r="C11" s="13">
        <f>'Skattemæssig værdi af PA aktier'!N34</f>
        <v>0</v>
      </c>
      <c r="D11" s="16"/>
      <c r="E11" s="12"/>
      <c r="F11" s="112">
        <f>'Skattemæssig værdi af PA aktier'!O34</f>
        <v>0</v>
      </c>
      <c r="G11" s="17">
        <f>IF(C11&gt;0,F11*C11,0)</f>
        <v>0</v>
      </c>
      <c r="H11" s="103" t="s">
        <v>26</v>
      </c>
    </row>
    <row r="12" spans="1:8" ht="15" x14ac:dyDescent="0.25">
      <c r="A12" s="95">
        <v>41626</v>
      </c>
      <c r="B12" s="15" t="s">
        <v>65</v>
      </c>
      <c r="C12" s="12"/>
      <c r="D12" s="12"/>
      <c r="E12" s="12"/>
      <c r="F12" s="12"/>
      <c r="G12" s="12"/>
      <c r="H12" s="103"/>
    </row>
    <row r="13" spans="1:8" x14ac:dyDescent="0.3">
      <c r="A13" s="95"/>
      <c r="B13" s="18" t="s">
        <v>69</v>
      </c>
      <c r="C13" s="13">
        <f>-C11</f>
        <v>0</v>
      </c>
      <c r="D13" s="16">
        <v>0.1</v>
      </c>
      <c r="E13" s="12">
        <v>8.8805999999999994</v>
      </c>
      <c r="F13" s="12">
        <f>ROUND(D13/E13*100,2)</f>
        <v>1.1299999999999999</v>
      </c>
      <c r="G13" s="17">
        <f>IF(C11&gt;0,-C13*D13*E13,0)</f>
        <v>0</v>
      </c>
      <c r="H13" s="103" t="s">
        <v>27</v>
      </c>
    </row>
    <row r="14" spans="1:8" ht="15" x14ac:dyDescent="0.25">
      <c r="A14" s="95" t="s">
        <v>68</v>
      </c>
      <c r="B14" s="15" t="s">
        <v>68</v>
      </c>
      <c r="C14" s="13"/>
      <c r="D14" s="16"/>
      <c r="E14" s="12"/>
      <c r="F14" s="70"/>
      <c r="G14" s="17" t="s">
        <v>68</v>
      </c>
      <c r="H14" s="103"/>
    </row>
    <row r="15" spans="1:8" ht="15" x14ac:dyDescent="0.25">
      <c r="A15" s="95"/>
      <c r="B15" s="15" t="s">
        <v>87</v>
      </c>
      <c r="C15" s="12"/>
      <c r="D15" s="12"/>
      <c r="E15" s="12"/>
      <c r="F15" s="12"/>
      <c r="G15" s="12"/>
      <c r="H15" s="103"/>
    </row>
    <row r="16" spans="1:8" x14ac:dyDescent="0.3">
      <c r="A16" s="95"/>
      <c r="B16" s="18" t="s">
        <v>233</v>
      </c>
      <c r="C16" s="13"/>
      <c r="D16" s="16"/>
      <c r="E16" s="12"/>
      <c r="F16" s="12"/>
      <c r="G16" s="188">
        <f>G11-G13</f>
        <v>0</v>
      </c>
      <c r="H16" s="103" t="s">
        <v>28</v>
      </c>
    </row>
    <row r="17" spans="1:8" ht="15" x14ac:dyDescent="0.25">
      <c r="A17" s="95"/>
      <c r="B17" s="12"/>
      <c r="C17" s="12"/>
      <c r="D17" s="12"/>
      <c r="E17" s="12"/>
      <c r="F17" s="12"/>
      <c r="G17" s="12"/>
      <c r="H17" s="103"/>
    </row>
    <row r="18" spans="1:8" ht="15.75" thickBot="1" x14ac:dyDescent="0.3">
      <c r="A18" s="86"/>
      <c r="B18" s="12"/>
      <c r="C18" s="12"/>
      <c r="D18" s="12"/>
      <c r="E18" s="12"/>
      <c r="F18" s="12"/>
      <c r="G18" s="12"/>
      <c r="H18" s="103"/>
    </row>
    <row r="19" spans="1:8" ht="14.25" customHeight="1" x14ac:dyDescent="0.25">
      <c r="A19" s="109">
        <v>41626</v>
      </c>
      <c r="B19" s="110" t="s">
        <v>72</v>
      </c>
      <c r="C19" s="9"/>
      <c r="D19" s="9"/>
      <c r="E19" s="9"/>
      <c r="F19" s="9"/>
      <c r="G19" s="9"/>
      <c r="H19" s="111"/>
    </row>
    <row r="20" spans="1:8" x14ac:dyDescent="0.3">
      <c r="A20" s="95"/>
      <c r="B20" s="18" t="s">
        <v>71</v>
      </c>
      <c r="C20" s="13">
        <f>-C13</f>
        <v>0</v>
      </c>
      <c r="D20" s="16">
        <v>0.1</v>
      </c>
      <c r="E20" s="12">
        <v>8.8805999999999994</v>
      </c>
      <c r="F20" s="12">
        <f>ROUND(D20/E20*100,2)</f>
        <v>1.1299999999999999</v>
      </c>
      <c r="G20" s="17">
        <f>C20*D20*E20</f>
        <v>0</v>
      </c>
      <c r="H20" s="103" t="s">
        <v>103</v>
      </c>
    </row>
    <row r="21" spans="1:8" ht="15.75" thickBot="1" x14ac:dyDescent="0.3">
      <c r="A21" s="96"/>
      <c r="B21" s="97" t="s">
        <v>102</v>
      </c>
      <c r="C21" s="98"/>
      <c r="D21" s="99"/>
      <c r="E21" s="100"/>
      <c r="F21" s="100"/>
      <c r="G21" s="101"/>
      <c r="H21" s="104"/>
    </row>
    <row r="22" spans="1:8" ht="15.75" thickTop="1" x14ac:dyDescent="0.25">
      <c r="A22" s="108"/>
      <c r="B22" s="18"/>
      <c r="C22" s="13"/>
      <c r="D22" s="16"/>
      <c r="E22" s="12"/>
      <c r="F22" s="12"/>
      <c r="G22" s="17"/>
      <c r="H22" s="34"/>
    </row>
    <row r="23" spans="1:8" ht="6.75" customHeight="1" thickBot="1" x14ac:dyDescent="0.35"/>
    <row r="24" spans="1:8" ht="18.600000000000001" thickTop="1" x14ac:dyDescent="0.35">
      <c r="A24" s="83" t="s">
        <v>81</v>
      </c>
      <c r="B24" s="84"/>
      <c r="C24" s="84"/>
      <c r="D24" s="84"/>
      <c r="E24" s="84"/>
      <c r="F24" s="84"/>
      <c r="G24" s="84"/>
      <c r="H24" s="85"/>
    </row>
    <row r="25" spans="1:8" x14ac:dyDescent="0.3">
      <c r="A25" s="86" t="s">
        <v>82</v>
      </c>
      <c r="B25" s="12"/>
      <c r="C25" s="12"/>
      <c r="D25" s="12"/>
      <c r="E25" s="12"/>
      <c r="F25" s="12"/>
      <c r="G25" s="12"/>
      <c r="H25" s="87"/>
    </row>
    <row r="26" spans="1:8" x14ac:dyDescent="0.3">
      <c r="A26" s="86"/>
      <c r="B26" s="12"/>
      <c r="C26" s="12"/>
      <c r="D26" s="12"/>
      <c r="E26" s="12"/>
      <c r="F26" s="12"/>
      <c r="G26" s="12"/>
      <c r="H26" s="87"/>
    </row>
    <row r="27" spans="1:8" x14ac:dyDescent="0.3">
      <c r="A27" s="88" t="s">
        <v>39</v>
      </c>
      <c r="B27" s="12"/>
      <c r="C27" s="12"/>
      <c r="D27" s="12"/>
      <c r="E27" s="12"/>
      <c r="F27" s="12"/>
      <c r="G27" s="12"/>
      <c r="H27" s="87"/>
    </row>
    <row r="28" spans="1:8" x14ac:dyDescent="0.3">
      <c r="A28" s="88" t="s">
        <v>41</v>
      </c>
      <c r="B28" s="12"/>
      <c r="C28" s="12"/>
      <c r="D28" s="12"/>
      <c r="E28" s="12"/>
      <c r="F28" s="12"/>
      <c r="G28" s="12"/>
      <c r="H28" s="87"/>
    </row>
    <row r="29" spans="1:8" x14ac:dyDescent="0.3">
      <c r="A29" s="88" t="s">
        <v>40</v>
      </c>
      <c r="B29" s="12"/>
      <c r="C29" s="12"/>
      <c r="D29" s="12"/>
      <c r="E29" s="12"/>
      <c r="F29" s="12"/>
      <c r="G29" s="12"/>
      <c r="H29" s="87"/>
    </row>
    <row r="30" spans="1:8" ht="15" thickBot="1" x14ac:dyDescent="0.35">
      <c r="A30" s="86"/>
      <c r="B30" s="12"/>
      <c r="C30" s="12"/>
      <c r="D30" s="12"/>
      <c r="E30" s="12"/>
      <c r="F30" s="12"/>
      <c r="G30" s="12"/>
      <c r="H30" s="87"/>
    </row>
    <row r="31" spans="1:8" x14ac:dyDescent="0.3">
      <c r="A31" s="89"/>
      <c r="B31" s="74"/>
      <c r="C31" s="74"/>
      <c r="D31" s="74" t="s">
        <v>9</v>
      </c>
      <c r="E31" s="75" t="s">
        <v>10</v>
      </c>
      <c r="F31" s="74" t="s">
        <v>11</v>
      </c>
      <c r="G31" s="74" t="s">
        <v>11</v>
      </c>
      <c r="H31" s="90"/>
    </row>
    <row r="32" spans="1:8" ht="14.25" customHeight="1" x14ac:dyDescent="0.3">
      <c r="A32" s="91" t="s">
        <v>0</v>
      </c>
      <c r="B32" s="77" t="s">
        <v>1</v>
      </c>
      <c r="C32" s="77" t="s">
        <v>2</v>
      </c>
      <c r="D32" s="77" t="s">
        <v>3</v>
      </c>
      <c r="E32" s="77" t="s">
        <v>5</v>
      </c>
      <c r="F32" s="77" t="s">
        <v>3</v>
      </c>
      <c r="G32" s="258" t="s">
        <v>249</v>
      </c>
      <c r="H32" s="92"/>
    </row>
    <row r="33" spans="1:11" ht="21" thickBot="1" x14ac:dyDescent="0.35">
      <c r="A33" s="93"/>
      <c r="B33" s="78"/>
      <c r="C33" s="79"/>
      <c r="D33" s="80" t="s">
        <v>25</v>
      </c>
      <c r="E33" s="80" t="s">
        <v>57</v>
      </c>
      <c r="F33" s="80"/>
      <c r="G33" s="81" t="s">
        <v>250</v>
      </c>
      <c r="H33" s="94"/>
    </row>
    <row r="34" spans="1:11" x14ac:dyDescent="0.3">
      <c r="A34" s="95">
        <v>41250</v>
      </c>
      <c r="B34" s="15" t="s">
        <v>252</v>
      </c>
      <c r="C34" s="12"/>
      <c r="D34" s="12"/>
      <c r="E34" s="12"/>
      <c r="F34" s="12"/>
      <c r="G34" s="259" t="s">
        <v>251</v>
      </c>
      <c r="H34" s="87"/>
    </row>
    <row r="35" spans="1:11" ht="15" thickBot="1" x14ac:dyDescent="0.35">
      <c r="A35" s="95"/>
      <c r="B35" s="18" t="s">
        <v>83</v>
      </c>
      <c r="C35" s="13">
        <f>'Skattemæssig værdi af PA aktier'!N55</f>
        <v>0</v>
      </c>
      <c r="D35" s="16">
        <v>4.3087999999999997</v>
      </c>
      <c r="E35" s="12">
        <v>9.1931999999999992</v>
      </c>
      <c r="F35" s="12">
        <f>ROUND(D35*E35,2)</f>
        <v>39.61</v>
      </c>
      <c r="G35" s="260">
        <f>F35*C35</f>
        <v>0</v>
      </c>
      <c r="H35" s="103" t="s">
        <v>70</v>
      </c>
    </row>
    <row r="36" spans="1:11" x14ac:dyDescent="0.3">
      <c r="A36" s="95">
        <v>41284</v>
      </c>
      <c r="B36" s="15" t="s">
        <v>84</v>
      </c>
      <c r="C36" s="12"/>
      <c r="D36" s="12"/>
      <c r="E36" s="12"/>
      <c r="F36" s="12"/>
      <c r="G36" s="261" t="s">
        <v>17</v>
      </c>
      <c r="H36" s="103"/>
      <c r="K36" s="8" t="s">
        <v>11</v>
      </c>
    </row>
    <row r="37" spans="1:11" x14ac:dyDescent="0.3">
      <c r="A37" s="95"/>
      <c r="B37" s="18" t="s">
        <v>85</v>
      </c>
      <c r="C37" s="13">
        <f>-C35</f>
        <v>0</v>
      </c>
      <c r="D37" s="16">
        <f>F37/E37</f>
        <v>0</v>
      </c>
      <c r="E37" s="12">
        <f>E35</f>
        <v>9.1931999999999992</v>
      </c>
      <c r="F37" s="17">
        <f>'Skattemæssig værdi af PA aktier'!O55</f>
        <v>0</v>
      </c>
      <c r="G37" s="260">
        <f>-C37*D37*E37</f>
        <v>0</v>
      </c>
      <c r="H37" s="103" t="s">
        <v>104</v>
      </c>
    </row>
    <row r="38" spans="1:11" x14ac:dyDescent="0.3">
      <c r="A38" s="95"/>
      <c r="B38" s="12"/>
      <c r="C38" s="12"/>
      <c r="D38" s="12"/>
      <c r="E38" s="12"/>
      <c r="F38" s="12"/>
      <c r="G38" s="12"/>
      <c r="H38" s="103"/>
    </row>
    <row r="39" spans="1:11" x14ac:dyDescent="0.3">
      <c r="A39" s="95"/>
      <c r="B39" s="18" t="s">
        <v>86</v>
      </c>
      <c r="C39" s="12"/>
      <c r="D39" s="12"/>
      <c r="E39" s="12"/>
      <c r="F39" s="12"/>
      <c r="G39" s="12"/>
      <c r="H39" s="103"/>
    </row>
    <row r="40" spans="1:11" ht="15" thickBot="1" x14ac:dyDescent="0.35">
      <c r="A40" s="147"/>
      <c r="B40" s="189" t="s">
        <v>232</v>
      </c>
      <c r="C40" s="98"/>
      <c r="D40" s="99"/>
      <c r="E40" s="100"/>
      <c r="F40" s="100"/>
      <c r="G40" s="252">
        <f>G35-G37</f>
        <v>0</v>
      </c>
      <c r="H40" s="104" t="s">
        <v>105</v>
      </c>
    </row>
    <row r="41" spans="1:11" ht="15" thickTop="1" x14ac:dyDescent="0.3"/>
    <row r="42" spans="1:11" ht="15" thickBot="1" x14ac:dyDescent="0.35">
      <c r="A42" s="107" t="s">
        <v>111</v>
      </c>
    </row>
    <row r="43" spans="1:11" ht="15" thickTop="1" x14ac:dyDescent="0.3">
      <c r="A43" s="163" t="s">
        <v>13</v>
      </c>
      <c r="B43" s="164" t="s">
        <v>14</v>
      </c>
      <c r="C43" s="164" t="s">
        <v>15</v>
      </c>
      <c r="D43" s="164" t="s">
        <v>16</v>
      </c>
      <c r="E43" s="164"/>
      <c r="F43" s="164"/>
      <c r="G43" s="164"/>
      <c r="H43" s="165"/>
    </row>
    <row r="44" spans="1:11" x14ac:dyDescent="0.3">
      <c r="A44" s="166"/>
      <c r="B44" s="152"/>
      <c r="C44" s="152"/>
      <c r="D44" s="152"/>
      <c r="E44" s="152"/>
      <c r="F44" s="152"/>
      <c r="G44" s="152"/>
      <c r="H44" s="167"/>
    </row>
    <row r="45" spans="1:11" x14ac:dyDescent="0.3">
      <c r="A45" s="150">
        <v>2013</v>
      </c>
      <c r="B45" s="52" t="s">
        <v>76</v>
      </c>
      <c r="C45" s="190">
        <f>-G16</f>
        <v>0</v>
      </c>
      <c r="D45" s="148" t="s">
        <v>11</v>
      </c>
      <c r="E45" s="169" t="s">
        <v>113</v>
      </c>
      <c r="F45" s="148"/>
      <c r="G45" s="148"/>
      <c r="H45" s="151"/>
    </row>
    <row r="46" spans="1:11" x14ac:dyDescent="0.3">
      <c r="A46" s="150"/>
      <c r="B46" s="149" t="s">
        <v>77</v>
      </c>
      <c r="C46" s="148"/>
      <c r="D46" s="148"/>
      <c r="E46" s="148"/>
      <c r="F46" s="148"/>
      <c r="G46" s="148"/>
      <c r="H46" s="151"/>
    </row>
    <row r="47" spans="1:11" ht="8.1" customHeight="1" x14ac:dyDescent="0.3">
      <c r="A47" s="150"/>
      <c r="B47" s="52"/>
      <c r="C47" s="191"/>
      <c r="D47" s="148"/>
      <c r="E47" s="148"/>
      <c r="F47" s="148"/>
      <c r="G47" s="148"/>
      <c r="H47" s="151"/>
    </row>
    <row r="48" spans="1:11" x14ac:dyDescent="0.3">
      <c r="A48" s="150">
        <v>2013</v>
      </c>
      <c r="B48" s="52" t="s">
        <v>79</v>
      </c>
      <c r="C48" s="192">
        <f>'Skattemæssig værdi 2013'!G40</f>
        <v>0</v>
      </c>
      <c r="D48" s="148" t="s">
        <v>11</v>
      </c>
      <c r="E48" s="168" t="s">
        <v>114</v>
      </c>
      <c r="F48" s="148"/>
      <c r="G48" s="148"/>
      <c r="H48" s="151"/>
    </row>
    <row r="49" spans="1:8" x14ac:dyDescent="0.3">
      <c r="A49" s="150"/>
      <c r="B49" s="149" t="s">
        <v>80</v>
      </c>
      <c r="C49" s="148"/>
      <c r="D49" s="148"/>
      <c r="E49" s="148"/>
      <c r="F49" s="148"/>
      <c r="G49" s="148"/>
      <c r="H49" s="151"/>
    </row>
    <row r="50" spans="1:8" ht="8.1" customHeight="1" x14ac:dyDescent="0.3">
      <c r="A50" s="150"/>
      <c r="B50" s="148"/>
      <c r="C50" s="148"/>
      <c r="D50" s="148"/>
      <c r="E50" s="148"/>
      <c r="F50" s="148"/>
      <c r="G50" s="148"/>
      <c r="H50" s="151"/>
    </row>
    <row r="51" spans="1:8" s="293" customFormat="1" ht="15" hidden="1" x14ac:dyDescent="0.25">
      <c r="C51" s="293">
        <f>IF('Skattemæssig værdi af PA aktier'!U59=3,'Skattemæssig værdi af PA aktier'!P59,0)</f>
        <v>0</v>
      </c>
    </row>
    <row r="52" spans="1:8" s="293" customFormat="1" ht="15" hidden="1" x14ac:dyDescent="0.25">
      <c r="C52" s="293">
        <f>IF('Skattemæssig værdi af PA aktier'!U60=3,'Skattemæssig værdi af PA aktier'!P60,0)</f>
        <v>0</v>
      </c>
    </row>
    <row r="53" spans="1:8" s="293" customFormat="1" ht="15" hidden="1" x14ac:dyDescent="0.25">
      <c r="C53" s="293">
        <f>IF('Skattemæssig værdi af PA aktier'!U61=3,'Skattemæssig værdi af PA aktier'!P61,0)</f>
        <v>0</v>
      </c>
    </row>
    <row r="54" spans="1:8" s="293" customFormat="1" ht="15" hidden="1" x14ac:dyDescent="0.25">
      <c r="C54" s="293">
        <f>IF('Skattemæssig værdi af PA aktier'!U62=3,'Skattemæssig værdi af PA aktier'!P62,0)</f>
        <v>0</v>
      </c>
    </row>
    <row r="55" spans="1:8" s="293" customFormat="1" ht="15" hidden="1" x14ac:dyDescent="0.25">
      <c r="C55" s="293">
        <f>IF('Skattemæssig værdi af PA aktier'!U63=3,'Skattemæssig værdi af PA aktier'!P63,0)</f>
        <v>0</v>
      </c>
    </row>
    <row r="56" spans="1:8" s="293" customFormat="1" ht="15" hidden="1" x14ac:dyDescent="0.25">
      <c r="C56" s="293">
        <f>IF('Skattemæssig værdi af PA aktier'!U64=3,'Skattemæssig værdi af PA aktier'!P64,0)</f>
        <v>0</v>
      </c>
    </row>
    <row r="57" spans="1:8" s="293" customFormat="1" ht="15" hidden="1" x14ac:dyDescent="0.25">
      <c r="C57" s="293">
        <f>IF('Skattemæssig værdi af PA aktier'!U65=3,'Skattemæssig værdi af PA aktier'!P65,0)</f>
        <v>0</v>
      </c>
    </row>
    <row r="58" spans="1:8" s="293" customFormat="1" ht="15" hidden="1" x14ac:dyDescent="0.25">
      <c r="C58" s="293">
        <f>IF('Skattemæssig værdi af PA aktier'!U66=3,'Skattemæssig værdi af PA aktier'!P66,0)</f>
        <v>0</v>
      </c>
    </row>
    <row r="59" spans="1:8" s="293" customFormat="1" ht="15" hidden="1" x14ac:dyDescent="0.25">
      <c r="C59" s="293">
        <f>IF('Skattemæssig værdi af PA aktier'!U67=3,'Skattemæssig værdi af PA aktier'!P67,0)</f>
        <v>0</v>
      </c>
    </row>
    <row r="60" spans="1:8" s="293" customFormat="1" ht="15" hidden="1" x14ac:dyDescent="0.25">
      <c r="C60" s="293">
        <f>IF('Skattemæssig værdi af PA aktier'!U68=3,'Skattemæssig værdi af PA aktier'!P68,0)</f>
        <v>0</v>
      </c>
    </row>
    <row r="61" spans="1:8" s="293" customFormat="1" ht="15" hidden="1" x14ac:dyDescent="0.25">
      <c r="C61" s="293">
        <f>IF('Skattemæssig værdi af PA aktier'!U69=3,'Skattemæssig værdi af PA aktier'!P69,0)</f>
        <v>0</v>
      </c>
    </row>
    <row r="62" spans="1:8" s="293" customFormat="1" ht="15" hidden="1" x14ac:dyDescent="0.25">
      <c r="C62" s="293">
        <f>IF('Skattemæssig værdi af PA aktier'!U70=3,'Skattemæssig værdi af PA aktier'!P70,0)</f>
        <v>0</v>
      </c>
    </row>
    <row r="63" spans="1:8" s="293" customFormat="1" ht="15" hidden="1" x14ac:dyDescent="0.25">
      <c r="C63" s="293">
        <f>IF('Skattemæssig værdi af PA aktier'!U71=3,'Skattemæssig værdi af PA aktier'!P71,0)</f>
        <v>0</v>
      </c>
    </row>
    <row r="64" spans="1:8" s="293" customFormat="1" ht="15" hidden="1" x14ac:dyDescent="0.25">
      <c r="C64" s="293">
        <f>IF('Skattemæssig værdi af PA aktier'!U72=3,'Skattemæssig værdi af PA aktier'!P72,0)</f>
        <v>0</v>
      </c>
    </row>
    <row r="65" spans="1:9" s="293" customFormat="1" ht="15" hidden="1" x14ac:dyDescent="0.25">
      <c r="C65" s="293">
        <f>IF('Skattemæssig værdi af PA aktier'!U73=3,'Skattemæssig værdi af PA aktier'!P73,0)</f>
        <v>0</v>
      </c>
    </row>
    <row r="66" spans="1:9" s="293" customFormat="1" ht="15" hidden="1" x14ac:dyDescent="0.25">
      <c r="C66" s="293">
        <f>IF('Skattemæssig værdi af PA aktier'!U74=3,'Skattemæssig værdi af PA aktier'!P74,0)</f>
        <v>0</v>
      </c>
    </row>
    <row r="67" spans="1:9" s="293" customFormat="1" ht="15" hidden="1" x14ac:dyDescent="0.25">
      <c r="C67" s="293">
        <f>IF('Skattemæssig værdi af PA aktier'!U75=3,'Skattemæssig værdi af PA aktier'!P75,0)</f>
        <v>0</v>
      </c>
    </row>
    <row r="68" spans="1:9" s="293" customFormat="1" ht="15" hidden="1" x14ac:dyDescent="0.25">
      <c r="C68" s="293">
        <f>IF('Skattemæssig værdi af PA aktier'!U76=3,'Skattemæssig værdi af PA aktier'!P76,0)</f>
        <v>0</v>
      </c>
    </row>
    <row r="69" spans="1:9" s="293" customFormat="1" ht="15" hidden="1" x14ac:dyDescent="0.25">
      <c r="C69" s="293">
        <f>IF('Skattemæssig værdi af PA aktier'!U77=3,'Skattemæssig værdi af PA aktier'!P77,0)</f>
        <v>0</v>
      </c>
    </row>
    <row r="70" spans="1:9" s="293" customFormat="1" ht="15" hidden="1" x14ac:dyDescent="0.25">
      <c r="C70" s="293">
        <f>IF('Skattemæssig værdi af PA aktier'!U78=3,'Skattemæssig værdi af PA aktier'!P78,0)</f>
        <v>0</v>
      </c>
    </row>
    <row r="71" spans="1:9" s="293" customFormat="1" ht="15" hidden="1" x14ac:dyDescent="0.25"/>
    <row r="72" spans="1:9" ht="15" customHeight="1" x14ac:dyDescent="0.3">
      <c r="A72" s="150">
        <v>2013</v>
      </c>
      <c r="B72" s="52" t="s">
        <v>109</v>
      </c>
      <c r="C72" s="291">
        <f>SUM(C51:C70)</f>
        <v>0</v>
      </c>
      <c r="D72" s="148" t="s">
        <v>11</v>
      </c>
      <c r="E72" s="168" t="s">
        <v>116</v>
      </c>
      <c r="F72" s="148"/>
      <c r="G72" s="148"/>
      <c r="H72" s="151"/>
    </row>
    <row r="73" spans="1:9" ht="15" customHeight="1" x14ac:dyDescent="0.3">
      <c r="A73" s="150"/>
      <c r="B73" s="149" t="s">
        <v>110</v>
      </c>
      <c r="C73" s="148"/>
      <c r="D73" s="148"/>
      <c r="E73" s="148"/>
      <c r="F73" s="148"/>
      <c r="G73" s="148"/>
      <c r="H73" s="151"/>
    </row>
    <row r="74" spans="1:9" ht="8.1" customHeight="1" x14ac:dyDescent="0.3">
      <c r="A74" s="150"/>
      <c r="B74" s="148"/>
      <c r="C74" s="148"/>
      <c r="D74" s="148"/>
      <c r="E74" s="148"/>
      <c r="F74" s="148"/>
      <c r="G74" s="148"/>
      <c r="H74" s="151"/>
    </row>
    <row r="75" spans="1:9" ht="15" customHeight="1" x14ac:dyDescent="0.3">
      <c r="A75" s="150">
        <v>2013</v>
      </c>
      <c r="B75" s="52" t="s">
        <v>118</v>
      </c>
      <c r="C75" s="193">
        <v>0</v>
      </c>
      <c r="D75" s="148" t="s">
        <v>11</v>
      </c>
      <c r="E75" s="168" t="s">
        <v>115</v>
      </c>
      <c r="F75" s="148"/>
      <c r="G75" s="148"/>
      <c r="H75" s="151"/>
    </row>
    <row r="76" spans="1:9" ht="15" customHeight="1" x14ac:dyDescent="0.3">
      <c r="A76" s="150"/>
      <c r="B76" s="149" t="s">
        <v>112</v>
      </c>
      <c r="C76" s="148"/>
      <c r="D76" s="148"/>
      <c r="E76" s="148"/>
      <c r="F76" s="148"/>
      <c r="G76" s="148"/>
      <c r="H76" s="151"/>
    </row>
    <row r="77" spans="1:9" ht="8.1" customHeight="1" x14ac:dyDescent="0.3">
      <c r="A77" s="150"/>
      <c r="B77" s="148"/>
      <c r="C77" s="148"/>
      <c r="D77" s="148"/>
      <c r="E77" s="148"/>
      <c r="F77" s="148"/>
      <c r="G77" s="148"/>
      <c r="H77" s="151"/>
    </row>
    <row r="78" spans="1:9" x14ac:dyDescent="0.3">
      <c r="A78" s="158">
        <v>2013</v>
      </c>
      <c r="B78" s="154" t="s">
        <v>119</v>
      </c>
      <c r="C78" s="153">
        <f>C45+C48+C72+C75</f>
        <v>0</v>
      </c>
      <c r="D78" s="154" t="s">
        <v>11</v>
      </c>
      <c r="E78" s="155" t="s">
        <v>117</v>
      </c>
      <c r="F78" s="155"/>
      <c r="G78" s="155"/>
      <c r="H78" s="161"/>
    </row>
    <row r="79" spans="1:9" ht="15" thickBot="1" x14ac:dyDescent="0.35">
      <c r="A79" s="159"/>
      <c r="B79" s="160" t="s">
        <v>120</v>
      </c>
      <c r="C79" s="156" t="s">
        <v>108</v>
      </c>
      <c r="D79" s="157"/>
      <c r="E79" s="157"/>
      <c r="F79" s="157"/>
      <c r="G79" s="157"/>
      <c r="H79" s="162"/>
    </row>
    <row r="80" spans="1:9" ht="15" thickTop="1" x14ac:dyDescent="0.3">
      <c r="A80" s="12"/>
      <c r="B80" s="72"/>
      <c r="C80" s="73"/>
      <c r="D80" s="73"/>
      <c r="E80" s="73"/>
      <c r="F80" s="73"/>
      <c r="G80" s="73"/>
      <c r="H80" s="12"/>
      <c r="I80" s="12"/>
    </row>
    <row r="81" spans="1:9" x14ac:dyDescent="0.3">
      <c r="A81" s="12"/>
      <c r="B81" s="12"/>
      <c r="C81" s="12"/>
      <c r="D81" s="12"/>
      <c r="E81" s="12"/>
      <c r="F81" s="12"/>
      <c r="G81" s="12"/>
      <c r="H81" s="12"/>
      <c r="I81" s="12"/>
    </row>
    <row r="82" spans="1:9" ht="15" thickBot="1" x14ac:dyDescent="0.35">
      <c r="A82" s="107" t="s">
        <v>235</v>
      </c>
      <c r="B82" s="12"/>
      <c r="C82" s="12"/>
      <c r="D82" s="12"/>
      <c r="E82" s="12"/>
      <c r="F82" s="12"/>
      <c r="G82" s="12"/>
      <c r="H82" s="12"/>
      <c r="I82" s="12"/>
    </row>
    <row r="83" spans="1:9" ht="15" thickTop="1" x14ac:dyDescent="0.3">
      <c r="A83" s="125" t="s">
        <v>92</v>
      </c>
      <c r="B83" s="126"/>
      <c r="C83" s="126"/>
      <c r="D83" s="126"/>
      <c r="E83" s="126"/>
      <c r="F83" s="126"/>
      <c r="G83" s="126"/>
      <c r="H83" s="127"/>
      <c r="I83" s="12"/>
    </row>
    <row r="84" spans="1:9" x14ac:dyDescent="0.3">
      <c r="A84" s="128" t="s">
        <v>88</v>
      </c>
      <c r="B84" s="113"/>
      <c r="C84" s="113"/>
      <c r="D84" s="113"/>
      <c r="E84" s="113"/>
      <c r="F84" s="113"/>
      <c r="G84" s="113"/>
      <c r="H84" s="129"/>
      <c r="I84" s="12"/>
    </row>
    <row r="85" spans="1:9" x14ac:dyDescent="0.3">
      <c r="A85" s="130"/>
      <c r="B85" s="113"/>
      <c r="C85" s="254" t="s">
        <v>107</v>
      </c>
      <c r="D85" s="253" t="s">
        <v>234</v>
      </c>
      <c r="E85" s="113"/>
      <c r="F85" s="113"/>
      <c r="G85" s="113"/>
      <c r="H85" s="129"/>
    </row>
    <row r="86" spans="1:9" x14ac:dyDescent="0.3">
      <c r="A86" s="130"/>
      <c r="B86" s="113" t="s">
        <v>94</v>
      </c>
      <c r="C86" s="116">
        <f>IF(C78&lt;0,MAX(-96600,C78),MIN(C78,96600))</f>
        <v>0</v>
      </c>
      <c r="D86" s="115">
        <f>ROUND(C86*27%,2)</f>
        <v>0</v>
      </c>
      <c r="E86" s="113"/>
      <c r="F86" s="113"/>
      <c r="G86" s="113"/>
      <c r="H86" s="129"/>
    </row>
    <row r="87" spans="1:9" x14ac:dyDescent="0.3">
      <c r="A87" s="130"/>
      <c r="B87" s="114" t="s">
        <v>96</v>
      </c>
      <c r="C87" s="113"/>
      <c r="D87" s="115"/>
      <c r="E87" s="113"/>
      <c r="F87" s="113"/>
      <c r="G87" s="113"/>
      <c r="H87" s="129"/>
    </row>
    <row r="88" spans="1:9" x14ac:dyDescent="0.3">
      <c r="A88" s="130"/>
      <c r="B88" s="113" t="s">
        <v>95</v>
      </c>
      <c r="C88" s="116">
        <f>IF(C78&lt;-96600,96600+C78,IF(C78&lt;=96600,0,C78-96600))</f>
        <v>0</v>
      </c>
      <c r="D88" s="116">
        <f>ROUND(C88*42%,2)</f>
        <v>0</v>
      </c>
      <c r="E88" s="113"/>
      <c r="F88" s="113"/>
      <c r="G88" s="113"/>
      <c r="H88" s="129"/>
    </row>
    <row r="89" spans="1:9" x14ac:dyDescent="0.3">
      <c r="A89" s="131"/>
      <c r="B89" s="114" t="s">
        <v>97</v>
      </c>
      <c r="C89" s="113"/>
      <c r="D89" s="116"/>
      <c r="E89" s="113"/>
      <c r="F89" s="113"/>
      <c r="G89" s="117"/>
      <c r="H89" s="132"/>
    </row>
    <row r="90" spans="1:9" x14ac:dyDescent="0.3">
      <c r="A90" s="131"/>
      <c r="B90" s="124" t="s">
        <v>89</v>
      </c>
      <c r="C90" s="113"/>
      <c r="D90" s="123">
        <f>SUM(D86:D89)</f>
        <v>0</v>
      </c>
      <c r="E90" s="113"/>
      <c r="F90" s="117"/>
      <c r="G90" s="117"/>
      <c r="H90" s="132"/>
    </row>
    <row r="91" spans="1:9" x14ac:dyDescent="0.3">
      <c r="A91" s="131"/>
      <c r="B91" s="118" t="s">
        <v>91</v>
      </c>
      <c r="C91" s="117"/>
      <c r="D91" s="12"/>
      <c r="E91" s="117"/>
      <c r="F91" s="117"/>
      <c r="G91" s="117"/>
      <c r="H91" s="132"/>
    </row>
    <row r="92" spans="1:9" ht="6.75" customHeight="1" x14ac:dyDescent="0.3">
      <c r="A92" s="133"/>
      <c r="B92" s="119"/>
      <c r="C92" s="120"/>
      <c r="D92" s="119"/>
      <c r="E92" s="121"/>
      <c r="F92" s="121"/>
      <c r="G92" s="121"/>
      <c r="H92" s="132"/>
    </row>
    <row r="93" spans="1:9" x14ac:dyDescent="0.3">
      <c r="A93" s="130" t="s">
        <v>98</v>
      </c>
      <c r="B93" s="113"/>
      <c r="C93" s="117"/>
      <c r="D93" s="117"/>
      <c r="E93" s="121"/>
      <c r="F93" s="121"/>
      <c r="G93" s="121"/>
      <c r="H93" s="132"/>
    </row>
    <row r="94" spans="1:9" x14ac:dyDescent="0.3">
      <c r="A94" s="134" t="s">
        <v>99</v>
      </c>
      <c r="B94" s="118"/>
      <c r="C94" s="120"/>
      <c r="D94" s="119"/>
      <c r="E94" s="117"/>
      <c r="F94" s="117"/>
      <c r="G94" s="117"/>
      <c r="H94" s="132"/>
    </row>
    <row r="95" spans="1:9" ht="9" customHeight="1" x14ac:dyDescent="0.3">
      <c r="A95" s="131"/>
      <c r="B95" s="122"/>
      <c r="C95" s="117"/>
      <c r="D95" s="117"/>
      <c r="E95" s="117"/>
      <c r="F95" s="117"/>
      <c r="G95" s="117"/>
      <c r="H95" s="132"/>
    </row>
    <row r="96" spans="1:9" x14ac:dyDescent="0.3">
      <c r="A96" s="131" t="s">
        <v>100</v>
      </c>
      <c r="B96" s="117"/>
      <c r="C96" s="117"/>
      <c r="D96" s="117"/>
      <c r="E96" s="117"/>
      <c r="F96" s="117"/>
      <c r="G96" s="117"/>
      <c r="H96" s="132"/>
    </row>
    <row r="97" spans="1:8" ht="15" thickBot="1" x14ac:dyDescent="0.35">
      <c r="A97" s="135" t="s">
        <v>93</v>
      </c>
      <c r="B97" s="136"/>
      <c r="C97" s="136"/>
      <c r="D97" s="136"/>
      <c r="E97" s="136"/>
      <c r="F97" s="136"/>
      <c r="G97" s="136"/>
      <c r="H97" s="137"/>
    </row>
    <row r="98" spans="1:8" ht="15" thickTop="1" x14ac:dyDescent="0.3"/>
    <row r="100" spans="1:8" ht="15" thickBot="1" x14ac:dyDescent="0.35">
      <c r="A100" s="107" t="s">
        <v>106</v>
      </c>
    </row>
    <row r="101" spans="1:8" ht="15" thickTop="1" x14ac:dyDescent="0.3">
      <c r="A101" s="138" t="s">
        <v>101</v>
      </c>
      <c r="B101" s="139"/>
      <c r="C101" s="139"/>
      <c r="D101" s="139"/>
      <c r="E101" s="139"/>
      <c r="F101" s="139"/>
      <c r="G101" s="139"/>
      <c r="H101" s="140"/>
    </row>
    <row r="102" spans="1:8" ht="15" thickBot="1" x14ac:dyDescent="0.35">
      <c r="A102" s="141" t="s">
        <v>90</v>
      </c>
      <c r="B102" s="106"/>
      <c r="C102" s="106"/>
      <c r="D102" s="106"/>
      <c r="E102" s="106"/>
      <c r="F102" s="106"/>
      <c r="G102" s="106"/>
      <c r="H102" s="142"/>
    </row>
    <row r="103" spans="1:8" x14ac:dyDescent="0.3">
      <c r="A103" s="143"/>
      <c r="B103" s="82"/>
      <c r="C103" s="82"/>
      <c r="D103" s="74" t="s">
        <v>9</v>
      </c>
      <c r="E103" s="74" t="s">
        <v>10</v>
      </c>
      <c r="F103" s="74" t="s">
        <v>11</v>
      </c>
      <c r="G103" s="74" t="s">
        <v>11</v>
      </c>
      <c r="H103" s="90"/>
    </row>
    <row r="104" spans="1:8" x14ac:dyDescent="0.3">
      <c r="A104" s="91" t="s">
        <v>0</v>
      </c>
      <c r="B104" s="77" t="s">
        <v>1</v>
      </c>
      <c r="C104" s="77" t="s">
        <v>2</v>
      </c>
      <c r="D104" s="77" t="s">
        <v>3</v>
      </c>
      <c r="E104" s="77" t="s">
        <v>5</v>
      </c>
      <c r="F104" s="77" t="s">
        <v>3</v>
      </c>
      <c r="G104" s="77" t="s">
        <v>17</v>
      </c>
      <c r="H104" s="92"/>
    </row>
    <row r="105" spans="1:8" ht="21" thickBot="1" x14ac:dyDescent="0.35">
      <c r="A105" s="144"/>
      <c r="B105" s="105"/>
      <c r="C105" s="105"/>
      <c r="D105" s="80" t="s">
        <v>25</v>
      </c>
      <c r="E105" s="80" t="s">
        <v>57</v>
      </c>
      <c r="F105" s="80"/>
      <c r="G105" s="81" t="s">
        <v>24</v>
      </c>
      <c r="H105" s="94"/>
    </row>
    <row r="106" spans="1:8" ht="15.6" x14ac:dyDescent="0.3">
      <c r="A106" s="95">
        <v>39623</v>
      </c>
      <c r="B106" s="35" t="s">
        <v>34</v>
      </c>
      <c r="C106" s="23">
        <f>'Skattemæssig værdi af PA aktier'!K34</f>
        <v>0</v>
      </c>
      <c r="D106" s="12">
        <v>1E-4</v>
      </c>
      <c r="E106" s="34">
        <v>9.4495000000000005</v>
      </c>
      <c r="F106" s="34">
        <f>D106*E106</f>
        <v>9.4495000000000007E-4</v>
      </c>
      <c r="G106" s="12">
        <f>IF(C106&gt;0,C106*F106,0)</f>
        <v>0</v>
      </c>
      <c r="H106" s="87"/>
    </row>
    <row r="107" spans="1:8" ht="15.6" x14ac:dyDescent="0.3">
      <c r="A107" s="95"/>
      <c r="B107" s="35"/>
      <c r="C107" s="23"/>
      <c r="D107" s="12"/>
      <c r="E107" s="34"/>
      <c r="F107" s="34"/>
      <c r="G107" s="12"/>
      <c r="H107" s="87"/>
    </row>
    <row r="108" spans="1:8" x14ac:dyDescent="0.3">
      <c r="A108" s="145" t="s">
        <v>36</v>
      </c>
      <c r="B108" s="12"/>
      <c r="C108" s="12"/>
      <c r="D108" s="12"/>
      <c r="E108" s="12"/>
      <c r="F108" s="12"/>
      <c r="G108" s="12"/>
      <c r="H108" s="87"/>
    </row>
    <row r="109" spans="1:8" ht="15.6" x14ac:dyDescent="0.3">
      <c r="A109" s="146" t="s">
        <v>78</v>
      </c>
      <c r="B109" s="35"/>
      <c r="C109" s="12"/>
      <c r="D109" s="12"/>
      <c r="E109" s="12"/>
      <c r="F109" s="12"/>
      <c r="G109" s="12"/>
      <c r="H109" s="87"/>
    </row>
    <row r="110" spans="1:8" ht="15" thickBot="1" x14ac:dyDescent="0.35">
      <c r="A110" s="147"/>
      <c r="B110" s="100"/>
      <c r="C110" s="100"/>
      <c r="D110" s="100"/>
      <c r="E110" s="100"/>
      <c r="F110" s="100"/>
      <c r="G110" s="100"/>
      <c r="H110" s="102"/>
    </row>
    <row r="111" spans="1:8" ht="15" thickTop="1" x14ac:dyDescent="0.3"/>
  </sheetData>
  <pageMargins left="0.70866141732283472" right="0.70866141732283472" top="0.74803149606299213" bottom="0.74803149606299213" header="0.31496062992125984" footer="0.31496062992125984"/>
  <pageSetup paperSize="9" scale="56" orientation="portrait" r:id="rId1"/>
  <headerFooter>
    <oddFooter>&amp;LPA has made every effort to provide detailed share records and this calculator to you.   It remains however your personal responsibility to report your share income on your tax returns.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66"/>
  <sheetViews>
    <sheetView zoomScale="130" zoomScaleNormal="130" workbookViewId="0">
      <pane xSplit="4" ySplit="3" topLeftCell="E4" activePane="bottomRight" state="frozen"/>
      <selection pane="topRight" activeCell="E1" sqref="E1"/>
      <selection pane="bottomLeft" activeCell="A4" sqref="A4"/>
      <selection pane="bottomRight"/>
    </sheetView>
  </sheetViews>
  <sheetFormatPr defaultColWidth="9.109375" defaultRowHeight="13.2" x14ac:dyDescent="0.25"/>
  <cols>
    <col min="1" max="2" width="9.109375" style="199"/>
    <col min="3" max="3" width="21.5546875" style="199" customWidth="1"/>
    <col min="4" max="4" width="7.88671875" style="234" customWidth="1"/>
    <col min="5" max="5" width="11.88671875" style="199" bestFit="1" customWidth="1"/>
    <col min="6" max="6" width="10.33203125" style="199" bestFit="1" customWidth="1"/>
    <col min="7" max="7" width="20.44140625" style="233" customWidth="1"/>
    <col min="8" max="8" width="11.33203125" style="199" customWidth="1"/>
    <col min="9" max="9" width="33" style="199" customWidth="1"/>
    <col min="10" max="10" width="32.5546875" style="199" customWidth="1"/>
    <col min="11" max="11" width="17" style="199" customWidth="1"/>
    <col min="12" max="12" width="14" style="199" customWidth="1"/>
    <col min="13" max="13" width="17" style="199" customWidth="1"/>
    <col min="14" max="16384" width="9.109375" style="199"/>
  </cols>
  <sheetData>
    <row r="1" spans="1:14" ht="21.75" thickBot="1" x14ac:dyDescent="0.4">
      <c r="A1" s="194" t="s">
        <v>138</v>
      </c>
      <c r="B1" s="195"/>
      <c r="C1" s="195"/>
      <c r="D1" s="196"/>
      <c r="E1" s="197"/>
      <c r="F1" s="197"/>
      <c r="G1" s="198"/>
      <c r="H1" s="197"/>
      <c r="I1" s="197"/>
      <c r="J1" s="197"/>
      <c r="K1" s="197"/>
      <c r="L1" s="197"/>
      <c r="M1" s="197"/>
      <c r="N1" s="197"/>
    </row>
    <row r="2" spans="1:14" ht="16.5" thickBot="1" x14ac:dyDescent="0.3">
      <c r="A2" s="236" t="s">
        <v>139</v>
      </c>
      <c r="B2" s="237"/>
      <c r="C2" s="237"/>
      <c r="D2" s="238"/>
      <c r="E2" s="290"/>
      <c r="F2" s="239"/>
      <c r="G2" s="453"/>
      <c r="H2" s="453"/>
      <c r="I2" s="453"/>
      <c r="J2" s="453"/>
      <c r="K2" s="453"/>
      <c r="L2" s="453"/>
      <c r="M2" s="453"/>
      <c r="N2" s="197"/>
    </row>
    <row r="3" spans="1:14" ht="25.5" customHeight="1" thickBot="1" x14ac:dyDescent="0.35">
      <c r="A3" s="240" t="s">
        <v>140</v>
      </c>
      <c r="B3" s="241" t="s">
        <v>141</v>
      </c>
      <c r="C3" s="241" t="s">
        <v>142</v>
      </c>
      <c r="D3" s="241" t="s">
        <v>143</v>
      </c>
      <c r="E3" s="240" t="s">
        <v>224</v>
      </c>
      <c r="F3" s="241" t="s">
        <v>223</v>
      </c>
      <c r="G3" s="379" t="s">
        <v>144</v>
      </c>
      <c r="H3" s="454" t="s">
        <v>43</v>
      </c>
      <c r="I3" s="457" t="s">
        <v>145</v>
      </c>
      <c r="J3" s="452"/>
      <c r="K3" s="452"/>
      <c r="L3" s="452"/>
      <c r="M3" s="458"/>
      <c r="N3" s="197"/>
    </row>
    <row r="4" spans="1:14" ht="13.8" x14ac:dyDescent="0.3">
      <c r="A4" s="393">
        <v>1992</v>
      </c>
      <c r="B4" s="394" t="s">
        <v>146</v>
      </c>
      <c r="C4" s="394" t="s">
        <v>147</v>
      </c>
      <c r="D4" s="395">
        <v>0.15</v>
      </c>
      <c r="E4" s="203"/>
      <c r="F4" s="203"/>
      <c r="G4" s="380" t="s">
        <v>148</v>
      </c>
      <c r="H4" s="455"/>
      <c r="I4" s="459" t="s">
        <v>149</v>
      </c>
      <c r="J4" s="459" t="s">
        <v>150</v>
      </c>
      <c r="K4" s="460">
        <v>0.33333000000000002</v>
      </c>
      <c r="L4" s="460">
        <v>0.33333000000000002</v>
      </c>
      <c r="M4" s="463">
        <v>0.33333000000000002</v>
      </c>
      <c r="N4" s="197"/>
    </row>
    <row r="5" spans="1:14" ht="13.8" x14ac:dyDescent="0.3">
      <c r="A5" s="200">
        <v>1992</v>
      </c>
      <c r="B5" s="201" t="s">
        <v>151</v>
      </c>
      <c r="C5" s="201" t="s">
        <v>152</v>
      </c>
      <c r="D5" s="396">
        <v>0.1</v>
      </c>
      <c r="E5" s="203"/>
      <c r="F5" s="203"/>
      <c r="G5" s="380"/>
      <c r="H5" s="455"/>
      <c r="I5" s="455"/>
      <c r="J5" s="455"/>
      <c r="K5" s="461"/>
      <c r="L5" s="461"/>
      <c r="M5" s="464"/>
      <c r="N5" s="197"/>
    </row>
    <row r="6" spans="1:14" ht="14.4" thickBot="1" x14ac:dyDescent="0.35">
      <c r="A6" s="200">
        <v>1993</v>
      </c>
      <c r="B6" s="201" t="s">
        <v>146</v>
      </c>
      <c r="C6" s="201" t="s">
        <v>153</v>
      </c>
      <c r="D6" s="396">
        <v>0.14000000000000001</v>
      </c>
      <c r="E6" s="203"/>
      <c r="F6" s="203"/>
      <c r="G6" s="381"/>
      <c r="H6" s="456"/>
      <c r="I6" s="456"/>
      <c r="J6" s="456"/>
      <c r="K6" s="462"/>
      <c r="L6" s="462"/>
      <c r="M6" s="465"/>
      <c r="N6" s="197"/>
    </row>
    <row r="7" spans="1:14" ht="15.75" x14ac:dyDescent="0.25">
      <c r="A7" s="200">
        <v>1993</v>
      </c>
      <c r="B7" s="201" t="s">
        <v>151</v>
      </c>
      <c r="C7" s="201" t="s">
        <v>154</v>
      </c>
      <c r="D7" s="396">
        <v>0.22500000000000001</v>
      </c>
      <c r="E7" s="203"/>
      <c r="F7" s="203"/>
      <c r="G7" s="382" t="s">
        <v>155</v>
      </c>
      <c r="H7" s="205"/>
      <c r="I7" s="205"/>
      <c r="J7" s="205"/>
      <c r="K7" s="205"/>
      <c r="L7" s="205"/>
      <c r="M7" s="206"/>
      <c r="N7" s="197"/>
    </row>
    <row r="8" spans="1:14" ht="12.75" x14ac:dyDescent="0.2">
      <c r="A8" s="200">
        <v>1994</v>
      </c>
      <c r="B8" s="201" t="s">
        <v>146</v>
      </c>
      <c r="C8" s="201" t="s">
        <v>156</v>
      </c>
      <c r="D8" s="396">
        <v>0.4</v>
      </c>
      <c r="E8" s="203"/>
      <c r="F8" s="203"/>
      <c r="G8" s="383">
        <v>1993</v>
      </c>
      <c r="H8" s="207">
        <v>34495</v>
      </c>
      <c r="I8" s="207">
        <v>36404</v>
      </c>
      <c r="J8" s="207">
        <v>35674</v>
      </c>
      <c r="K8" s="208"/>
      <c r="L8" s="208"/>
      <c r="M8" s="209"/>
      <c r="N8" s="208"/>
    </row>
    <row r="9" spans="1:14" ht="12.75" x14ac:dyDescent="0.2">
      <c r="A9" s="200">
        <v>1994</v>
      </c>
      <c r="B9" s="201" t="s">
        <v>151</v>
      </c>
      <c r="C9" s="201" t="s">
        <v>157</v>
      </c>
      <c r="D9" s="396">
        <v>0.5</v>
      </c>
      <c r="E9" s="203"/>
      <c r="F9" s="203"/>
      <c r="G9" s="383" t="s">
        <v>158</v>
      </c>
      <c r="H9" s="207">
        <v>34715</v>
      </c>
      <c r="I9" s="207">
        <v>35811</v>
      </c>
      <c r="J9" s="207">
        <v>35811</v>
      </c>
      <c r="K9" s="208"/>
      <c r="L9" s="208"/>
      <c r="M9" s="209"/>
      <c r="N9" s="208"/>
    </row>
    <row r="10" spans="1:14" ht="12.75" x14ac:dyDescent="0.2">
      <c r="A10" s="200">
        <v>1995</v>
      </c>
      <c r="B10" s="201" t="s">
        <v>159</v>
      </c>
      <c r="C10" s="201" t="s">
        <v>160</v>
      </c>
      <c r="D10" s="396">
        <v>0.5</v>
      </c>
      <c r="E10" s="203"/>
      <c r="F10" s="203"/>
      <c r="G10" s="383">
        <v>1994</v>
      </c>
      <c r="H10" s="207">
        <v>34880</v>
      </c>
      <c r="I10" s="207">
        <v>36770</v>
      </c>
      <c r="J10" s="207">
        <v>36039</v>
      </c>
      <c r="K10" s="208"/>
      <c r="L10" s="208"/>
      <c r="M10" s="209"/>
      <c r="N10" s="208"/>
    </row>
    <row r="11" spans="1:14" ht="12.75" x14ac:dyDescent="0.2">
      <c r="A11" s="200">
        <v>1995</v>
      </c>
      <c r="B11" s="201" t="s">
        <v>151</v>
      </c>
      <c r="C11" s="201" t="s">
        <v>161</v>
      </c>
      <c r="D11" s="396">
        <v>0.52500000000000002</v>
      </c>
      <c r="E11" s="203"/>
      <c r="F11" s="203"/>
      <c r="G11" s="383"/>
      <c r="H11" s="207"/>
      <c r="I11" s="207"/>
      <c r="J11" s="207"/>
      <c r="K11" s="208"/>
      <c r="L11" s="208"/>
      <c r="M11" s="209"/>
      <c r="N11" s="208"/>
    </row>
    <row r="12" spans="1:14" ht="12.75" x14ac:dyDescent="0.2">
      <c r="A12" s="200">
        <v>1996</v>
      </c>
      <c r="B12" s="201" t="s">
        <v>159</v>
      </c>
      <c r="C12" s="201" t="s">
        <v>162</v>
      </c>
      <c r="D12" s="396">
        <v>0.75</v>
      </c>
      <c r="E12" s="203"/>
      <c r="F12" s="203"/>
      <c r="G12" s="384"/>
      <c r="H12" s="201"/>
      <c r="I12" s="201"/>
      <c r="J12" s="201"/>
      <c r="K12" s="203"/>
      <c r="L12" s="208"/>
      <c r="M12" s="209"/>
      <c r="N12" s="208"/>
    </row>
    <row r="13" spans="1:14" ht="12.75" x14ac:dyDescent="0.2">
      <c r="A13" s="200">
        <v>1996</v>
      </c>
      <c r="B13" s="201" t="s">
        <v>151</v>
      </c>
      <c r="C13" s="201" t="s">
        <v>163</v>
      </c>
      <c r="D13" s="396">
        <v>0.9</v>
      </c>
      <c r="E13" s="203"/>
      <c r="F13" s="203"/>
      <c r="G13" s="383">
        <v>1995</v>
      </c>
      <c r="H13" s="207">
        <v>35461</v>
      </c>
      <c r="I13" s="207">
        <v>37135</v>
      </c>
      <c r="J13" s="207">
        <v>36404</v>
      </c>
      <c r="K13" s="208"/>
      <c r="L13" s="208"/>
      <c r="M13" s="209"/>
      <c r="N13" s="208"/>
    </row>
    <row r="14" spans="1:14" ht="12.75" x14ac:dyDescent="0.2">
      <c r="A14" s="200">
        <v>1997</v>
      </c>
      <c r="B14" s="201" t="s">
        <v>159</v>
      </c>
      <c r="C14" s="201" t="s">
        <v>164</v>
      </c>
      <c r="D14" s="396">
        <v>0.93500000000000005</v>
      </c>
      <c r="E14" s="203"/>
      <c r="F14" s="203"/>
      <c r="G14" s="383">
        <v>1996</v>
      </c>
      <c r="H14" s="207">
        <v>35551</v>
      </c>
      <c r="I14" s="207">
        <v>37500</v>
      </c>
      <c r="J14" s="207">
        <v>36770</v>
      </c>
      <c r="K14" s="208"/>
      <c r="L14" s="208"/>
      <c r="M14" s="209"/>
      <c r="N14" s="208"/>
    </row>
    <row r="15" spans="1:14" ht="12.75" x14ac:dyDescent="0.2">
      <c r="A15" s="200">
        <v>1997</v>
      </c>
      <c r="B15" s="201" t="s">
        <v>151</v>
      </c>
      <c r="C15" s="201" t="s">
        <v>165</v>
      </c>
      <c r="D15" s="396">
        <v>1.26</v>
      </c>
      <c r="E15" s="203"/>
      <c r="F15" s="203"/>
      <c r="G15" s="383"/>
      <c r="H15" s="207"/>
      <c r="I15" s="207"/>
      <c r="J15" s="207"/>
      <c r="K15" s="208"/>
      <c r="L15" s="208"/>
      <c r="M15" s="209"/>
      <c r="N15" s="208"/>
    </row>
    <row r="16" spans="1:14" ht="15.75" x14ac:dyDescent="0.25">
      <c r="A16" s="200">
        <v>1998</v>
      </c>
      <c r="B16" s="201" t="s">
        <v>166</v>
      </c>
      <c r="C16" s="201" t="s">
        <v>167</v>
      </c>
      <c r="D16" s="396">
        <v>1.36</v>
      </c>
      <c r="E16" s="203"/>
      <c r="F16" s="203"/>
      <c r="G16" s="385" t="s">
        <v>168</v>
      </c>
      <c r="H16" s="207"/>
      <c r="I16" s="207"/>
      <c r="J16" s="207"/>
      <c r="K16" s="208"/>
      <c r="L16" s="208"/>
      <c r="M16" s="209"/>
      <c r="N16" s="208"/>
    </row>
    <row r="17" spans="1:14" ht="15" customHeight="1" x14ac:dyDescent="0.2">
      <c r="A17" s="210">
        <v>1998</v>
      </c>
      <c r="B17" s="211" t="s">
        <v>169</v>
      </c>
      <c r="C17" s="201" t="s">
        <v>170</v>
      </c>
      <c r="D17" s="397">
        <v>1.64</v>
      </c>
      <c r="E17" s="203"/>
      <c r="F17" s="203"/>
      <c r="G17" s="386" t="s">
        <v>171</v>
      </c>
      <c r="H17" s="207">
        <v>36100</v>
      </c>
      <c r="I17" s="212" t="s">
        <v>172</v>
      </c>
      <c r="J17" s="212" t="s">
        <v>173</v>
      </c>
      <c r="K17" s="208"/>
      <c r="L17" s="208"/>
      <c r="M17" s="209"/>
      <c r="N17" s="208"/>
    </row>
    <row r="18" spans="1:14" ht="12.75" x14ac:dyDescent="0.2">
      <c r="A18" s="200">
        <v>1999</v>
      </c>
      <c r="B18" s="201" t="s">
        <v>166</v>
      </c>
      <c r="C18" s="201" t="s">
        <v>174</v>
      </c>
      <c r="D18" s="396">
        <v>1.95</v>
      </c>
      <c r="E18" s="203"/>
      <c r="F18" s="203"/>
      <c r="G18" s="384">
        <v>1998</v>
      </c>
      <c r="H18" s="207">
        <v>36341</v>
      </c>
      <c r="I18" s="207">
        <v>38047</v>
      </c>
      <c r="J18" s="207">
        <v>37316</v>
      </c>
      <c r="K18" s="208"/>
      <c r="L18" s="208"/>
      <c r="M18" s="209"/>
      <c r="N18" s="208"/>
    </row>
    <row r="19" spans="1:14" ht="12.75" x14ac:dyDescent="0.2">
      <c r="A19" s="200">
        <v>1999</v>
      </c>
      <c r="B19" s="201" t="s">
        <v>169</v>
      </c>
      <c r="C19" s="201" t="s">
        <v>175</v>
      </c>
      <c r="D19" s="396">
        <v>2.17</v>
      </c>
      <c r="E19" s="203"/>
      <c r="F19" s="203"/>
      <c r="G19" s="384"/>
      <c r="H19" s="207"/>
      <c r="I19" s="207"/>
      <c r="J19" s="207"/>
      <c r="K19" s="208"/>
      <c r="L19" s="208"/>
      <c r="M19" s="209"/>
      <c r="N19" s="208"/>
    </row>
    <row r="20" spans="1:14" ht="12.75" x14ac:dyDescent="0.2">
      <c r="A20" s="247">
        <v>2000</v>
      </c>
      <c r="B20" s="248" t="s">
        <v>166</v>
      </c>
      <c r="C20" s="248" t="s">
        <v>176</v>
      </c>
      <c r="D20" s="250">
        <v>2.61</v>
      </c>
      <c r="E20" s="249">
        <v>12.09</v>
      </c>
      <c r="F20" s="249">
        <f t="shared" ref="F20:F46" si="0">ROUND(D20*E20,2)</f>
        <v>31.55</v>
      </c>
      <c r="G20" s="384">
        <v>1999</v>
      </c>
      <c r="H20" s="207">
        <v>36707</v>
      </c>
      <c r="I20" s="207">
        <v>38412</v>
      </c>
      <c r="J20" s="207">
        <v>37681</v>
      </c>
      <c r="K20" s="203"/>
      <c r="L20" s="203"/>
      <c r="M20" s="204"/>
      <c r="N20" s="203"/>
    </row>
    <row r="21" spans="1:14" ht="12.75" x14ac:dyDescent="0.2">
      <c r="A21" s="247">
        <v>2000</v>
      </c>
      <c r="B21" s="248" t="s">
        <v>169</v>
      </c>
      <c r="C21" s="248" t="s">
        <v>177</v>
      </c>
      <c r="D21" s="250">
        <v>2.83</v>
      </c>
      <c r="E21" s="249">
        <v>12.26</v>
      </c>
      <c r="F21" s="249">
        <f t="shared" si="0"/>
        <v>34.700000000000003</v>
      </c>
      <c r="G21" s="384"/>
      <c r="H21" s="201"/>
      <c r="I21" s="201"/>
      <c r="J21" s="201"/>
      <c r="K21" s="201"/>
      <c r="L21" s="201"/>
      <c r="M21" s="213"/>
      <c r="N21" s="203"/>
    </row>
    <row r="22" spans="1:14" ht="12.75" x14ac:dyDescent="0.2">
      <c r="A22" s="247">
        <v>2001</v>
      </c>
      <c r="B22" s="248" t="s">
        <v>166</v>
      </c>
      <c r="C22" s="248" t="s">
        <v>178</v>
      </c>
      <c r="D22" s="250">
        <v>3.06</v>
      </c>
      <c r="E22" s="249">
        <v>11.71</v>
      </c>
      <c r="F22" s="249">
        <f t="shared" si="0"/>
        <v>35.83</v>
      </c>
      <c r="G22" s="384">
        <v>2000</v>
      </c>
      <c r="H22" s="207">
        <v>37072</v>
      </c>
      <c r="I22" s="207">
        <v>38777</v>
      </c>
      <c r="J22" s="207"/>
      <c r="K22" s="207">
        <v>37316</v>
      </c>
      <c r="L22" s="207">
        <v>37681</v>
      </c>
      <c r="M22" s="214">
        <v>38047</v>
      </c>
      <c r="N22" s="208"/>
    </row>
    <row r="23" spans="1:14" ht="12.75" x14ac:dyDescent="0.2">
      <c r="A23" s="247">
        <v>2001</v>
      </c>
      <c r="B23" s="248" t="s">
        <v>169</v>
      </c>
      <c r="C23" s="248" t="s">
        <v>179</v>
      </c>
      <c r="D23" s="250">
        <v>3.36</v>
      </c>
      <c r="E23" s="249">
        <v>11.86</v>
      </c>
      <c r="F23" s="249">
        <f t="shared" si="0"/>
        <v>39.85</v>
      </c>
      <c r="G23" s="384"/>
      <c r="H23" s="207"/>
      <c r="I23" s="207"/>
      <c r="J23" s="207"/>
      <c r="K23" s="207"/>
      <c r="L23" s="207"/>
      <c r="M23" s="214"/>
      <c r="N23" s="208"/>
    </row>
    <row r="24" spans="1:14" ht="12.75" x14ac:dyDescent="0.2">
      <c r="A24" s="247">
        <v>2002</v>
      </c>
      <c r="B24" s="248" t="s">
        <v>166</v>
      </c>
      <c r="C24" s="248" t="s">
        <v>180</v>
      </c>
      <c r="D24" s="250">
        <v>3.5</v>
      </c>
      <c r="E24" s="249">
        <v>12.12</v>
      </c>
      <c r="F24" s="249">
        <f t="shared" si="0"/>
        <v>42.42</v>
      </c>
      <c r="G24" s="384">
        <v>2001</v>
      </c>
      <c r="H24" s="207">
        <v>37437</v>
      </c>
      <c r="I24" s="207">
        <v>39142</v>
      </c>
      <c r="J24" s="207"/>
      <c r="K24" s="207">
        <v>37681</v>
      </c>
      <c r="L24" s="207">
        <v>38047</v>
      </c>
      <c r="M24" s="214">
        <v>38412</v>
      </c>
      <c r="N24" s="208"/>
    </row>
    <row r="25" spans="1:14" ht="12.75" x14ac:dyDescent="0.2">
      <c r="A25" s="247">
        <v>2002</v>
      </c>
      <c r="B25" s="248" t="s">
        <v>169</v>
      </c>
      <c r="C25" s="248" t="s">
        <v>181</v>
      </c>
      <c r="D25" s="250">
        <v>3.54</v>
      </c>
      <c r="E25" s="249">
        <v>11.71</v>
      </c>
      <c r="F25" s="249">
        <f t="shared" si="0"/>
        <v>41.45</v>
      </c>
      <c r="G25" s="384"/>
      <c r="H25" s="207"/>
      <c r="I25" s="207"/>
      <c r="J25" s="207"/>
      <c r="K25" s="208"/>
      <c r="L25" s="208"/>
      <c r="M25" s="209"/>
      <c r="N25" s="208"/>
    </row>
    <row r="26" spans="1:14" ht="13.5" thickBot="1" x14ac:dyDescent="0.25">
      <c r="A26" s="247">
        <v>2003</v>
      </c>
      <c r="B26" s="248" t="s">
        <v>166</v>
      </c>
      <c r="C26" s="248" t="s">
        <v>182</v>
      </c>
      <c r="D26" s="250">
        <v>3.75</v>
      </c>
      <c r="E26" s="249">
        <v>10.91</v>
      </c>
      <c r="F26" s="249">
        <f t="shared" si="0"/>
        <v>40.909999999999997</v>
      </c>
      <c r="G26" s="384">
        <v>2002</v>
      </c>
      <c r="H26" s="207">
        <v>37802</v>
      </c>
      <c r="I26" s="207">
        <v>39508</v>
      </c>
      <c r="J26" s="207">
        <v>38777</v>
      </c>
      <c r="K26" s="208"/>
      <c r="L26" s="208"/>
      <c r="M26" s="209"/>
      <c r="N26" s="208"/>
    </row>
    <row r="27" spans="1:14" ht="15.75" x14ac:dyDescent="0.25">
      <c r="A27" s="247">
        <v>2003</v>
      </c>
      <c r="B27" s="248" t="s">
        <v>169</v>
      </c>
      <c r="C27" s="248" t="s">
        <v>183</v>
      </c>
      <c r="D27" s="250">
        <v>3.78</v>
      </c>
      <c r="E27" s="249">
        <v>10.7</v>
      </c>
      <c r="F27" s="249">
        <f t="shared" si="0"/>
        <v>40.450000000000003</v>
      </c>
      <c r="G27" s="384"/>
      <c r="H27" s="207"/>
      <c r="I27" s="207"/>
      <c r="J27" s="207"/>
      <c r="K27" s="445" t="s">
        <v>184</v>
      </c>
      <c r="L27" s="446"/>
      <c r="M27" s="447"/>
      <c r="N27" s="208"/>
    </row>
    <row r="28" spans="1:14" ht="13.8" x14ac:dyDescent="0.3">
      <c r="A28" s="247">
        <v>2004</v>
      </c>
      <c r="B28" s="248" t="s">
        <v>166</v>
      </c>
      <c r="C28" s="248" t="s">
        <v>185</v>
      </c>
      <c r="D28" s="250">
        <v>3.9</v>
      </c>
      <c r="E28" s="249">
        <v>10.92</v>
      </c>
      <c r="F28" s="249">
        <f t="shared" si="0"/>
        <v>42.59</v>
      </c>
      <c r="G28" s="384">
        <v>2003</v>
      </c>
      <c r="H28" s="207">
        <v>38122</v>
      </c>
      <c r="I28" s="207">
        <v>39873</v>
      </c>
      <c r="J28" s="207">
        <v>39142</v>
      </c>
      <c r="K28" s="215" t="s">
        <v>186</v>
      </c>
      <c r="L28" s="216" t="s">
        <v>187</v>
      </c>
      <c r="M28" s="217" t="s">
        <v>188</v>
      </c>
      <c r="N28" s="208"/>
    </row>
    <row r="29" spans="1:14" ht="13.8" x14ac:dyDescent="0.3">
      <c r="A29" s="247">
        <v>2005</v>
      </c>
      <c r="B29" s="248" t="s">
        <v>166</v>
      </c>
      <c r="C29" s="248" t="s">
        <v>189</v>
      </c>
      <c r="D29" s="250">
        <v>4.3</v>
      </c>
      <c r="E29" s="249">
        <v>10.7639</v>
      </c>
      <c r="F29" s="249">
        <f t="shared" si="0"/>
        <v>46.28</v>
      </c>
      <c r="G29" s="384">
        <v>2004</v>
      </c>
      <c r="H29" s="207">
        <v>38533</v>
      </c>
      <c r="I29" s="207">
        <v>40238</v>
      </c>
      <c r="J29" s="207">
        <v>39508</v>
      </c>
      <c r="K29" s="218">
        <v>38471</v>
      </c>
      <c r="L29" s="207">
        <v>39699</v>
      </c>
      <c r="M29" s="214">
        <v>42122</v>
      </c>
      <c r="N29" s="208"/>
    </row>
    <row r="30" spans="1:14" ht="13.8" x14ac:dyDescent="0.3">
      <c r="A30" s="247">
        <v>2005</v>
      </c>
      <c r="B30" s="248" t="s">
        <v>169</v>
      </c>
      <c r="C30" s="248" t="s">
        <v>190</v>
      </c>
      <c r="D30" s="250">
        <v>4.8</v>
      </c>
      <c r="E30" s="249">
        <v>10.845499999999999</v>
      </c>
      <c r="F30" s="249">
        <f t="shared" si="0"/>
        <v>52.06</v>
      </c>
      <c r="G30" s="387"/>
      <c r="H30" s="207"/>
      <c r="I30" s="207"/>
      <c r="J30" s="207"/>
      <c r="K30" s="218"/>
      <c r="L30" s="207"/>
      <c r="M30" s="214"/>
      <c r="N30" s="208"/>
    </row>
    <row r="31" spans="1:14" ht="13.8" x14ac:dyDescent="0.3">
      <c r="A31" s="247">
        <v>2006</v>
      </c>
      <c r="B31" s="248" t="s">
        <v>166</v>
      </c>
      <c r="C31" s="248" t="s">
        <v>191</v>
      </c>
      <c r="D31" s="250">
        <v>5</v>
      </c>
      <c r="E31" s="249">
        <v>10.98</v>
      </c>
      <c r="F31" s="249">
        <f t="shared" si="0"/>
        <v>54.9</v>
      </c>
      <c r="G31" s="387">
        <v>2005</v>
      </c>
      <c r="H31" s="207">
        <v>38828</v>
      </c>
      <c r="I31" s="207">
        <v>40603</v>
      </c>
      <c r="J31" s="207">
        <v>39873</v>
      </c>
      <c r="K31" s="218">
        <v>38828</v>
      </c>
      <c r="L31" s="207">
        <v>40063</v>
      </c>
      <c r="M31" s="214">
        <v>42480</v>
      </c>
      <c r="N31" s="208"/>
    </row>
    <row r="32" spans="1:14" ht="13.8" x14ac:dyDescent="0.3">
      <c r="A32" s="247">
        <v>2006</v>
      </c>
      <c r="B32" s="248" t="s">
        <v>192</v>
      </c>
      <c r="C32" s="248" t="s">
        <v>193</v>
      </c>
      <c r="D32" s="250">
        <v>6.2</v>
      </c>
      <c r="E32" s="249">
        <v>10.9908</v>
      </c>
      <c r="F32" s="249">
        <f t="shared" si="0"/>
        <v>68.14</v>
      </c>
      <c r="G32" s="387"/>
      <c r="H32" s="207"/>
      <c r="I32" s="207"/>
      <c r="J32" s="207"/>
      <c r="K32" s="218"/>
      <c r="L32" s="207"/>
      <c r="M32" s="214"/>
      <c r="N32" s="208"/>
    </row>
    <row r="33" spans="1:14" ht="13.8" x14ac:dyDescent="0.3">
      <c r="A33" s="247">
        <v>2007</v>
      </c>
      <c r="B33" s="248" t="s">
        <v>166</v>
      </c>
      <c r="C33" s="248" t="s">
        <v>194</v>
      </c>
      <c r="D33" s="250">
        <v>6.38</v>
      </c>
      <c r="E33" s="249">
        <v>11.0532</v>
      </c>
      <c r="F33" s="249">
        <f t="shared" si="0"/>
        <v>70.52</v>
      </c>
      <c r="G33" s="387">
        <v>2006</v>
      </c>
      <c r="H33" s="207">
        <v>39196</v>
      </c>
      <c r="I33" s="207">
        <v>40969</v>
      </c>
      <c r="J33" s="207">
        <v>40238</v>
      </c>
      <c r="K33" s="218">
        <v>39206</v>
      </c>
      <c r="L33" s="207">
        <v>40429</v>
      </c>
      <c r="M33" s="214">
        <v>42858</v>
      </c>
      <c r="N33" s="208"/>
    </row>
    <row r="34" spans="1:14" ht="13.8" x14ac:dyDescent="0.3">
      <c r="A34" s="247">
        <v>2007</v>
      </c>
      <c r="B34" s="248" t="s">
        <v>169</v>
      </c>
      <c r="C34" s="248" t="s">
        <v>195</v>
      </c>
      <c r="D34" s="250">
        <v>6.78</v>
      </c>
      <c r="E34" s="249">
        <v>10.9374</v>
      </c>
      <c r="F34" s="249">
        <f t="shared" si="0"/>
        <v>74.16</v>
      </c>
      <c r="G34" s="387"/>
      <c r="H34" s="207"/>
      <c r="I34" s="207"/>
      <c r="J34" s="207"/>
      <c r="K34" s="218"/>
      <c r="L34" s="207"/>
      <c r="M34" s="214"/>
      <c r="N34" s="208"/>
    </row>
    <row r="35" spans="1:14" ht="13.8" x14ac:dyDescent="0.3">
      <c r="A35" s="247">
        <v>2008</v>
      </c>
      <c r="B35" s="248" t="s">
        <v>166</v>
      </c>
      <c r="C35" s="248" t="s">
        <v>196</v>
      </c>
      <c r="D35" s="250">
        <v>7.27</v>
      </c>
      <c r="E35" s="249">
        <v>9.8656000000000006</v>
      </c>
      <c r="F35" s="249">
        <f t="shared" si="0"/>
        <v>71.72</v>
      </c>
      <c r="G35" s="387"/>
      <c r="H35" s="207"/>
      <c r="I35" s="207"/>
      <c r="J35" s="207"/>
      <c r="K35" s="218"/>
      <c r="L35" s="207"/>
      <c r="M35" s="214"/>
      <c r="N35" s="208"/>
    </row>
    <row r="36" spans="1:14" ht="13.8" x14ac:dyDescent="0.3">
      <c r="A36" s="247">
        <v>2008</v>
      </c>
      <c r="B36" s="248" t="s">
        <v>169</v>
      </c>
      <c r="C36" s="248" t="s">
        <v>197</v>
      </c>
      <c r="D36" s="250">
        <v>5.5</v>
      </c>
      <c r="E36" s="249">
        <v>9.4498999999999995</v>
      </c>
      <c r="F36" s="249">
        <f t="shared" si="0"/>
        <v>51.97</v>
      </c>
      <c r="G36" s="384">
        <v>2007</v>
      </c>
      <c r="H36" s="207">
        <v>39706</v>
      </c>
      <c r="I36" s="207">
        <v>41334</v>
      </c>
      <c r="J36" s="207">
        <v>40603</v>
      </c>
      <c r="K36" s="218">
        <v>39707</v>
      </c>
      <c r="L36" s="207">
        <v>40794</v>
      </c>
      <c r="M36" s="214">
        <v>43358</v>
      </c>
      <c r="N36" s="208"/>
    </row>
    <row r="37" spans="1:14" ht="14.4" thickBot="1" x14ac:dyDescent="0.35">
      <c r="A37" s="247">
        <v>2009</v>
      </c>
      <c r="B37" s="248" t="s">
        <v>166</v>
      </c>
      <c r="C37" s="248" t="s">
        <v>198</v>
      </c>
      <c r="D37" s="250">
        <v>6.88</v>
      </c>
      <c r="E37" s="249">
        <v>8.4324999999999992</v>
      </c>
      <c r="F37" s="249">
        <f t="shared" si="0"/>
        <v>58.02</v>
      </c>
      <c r="G37" s="387">
        <v>2008</v>
      </c>
      <c r="H37" s="207">
        <v>39931</v>
      </c>
      <c r="I37" s="207">
        <v>41699</v>
      </c>
      <c r="J37" s="207">
        <v>40969</v>
      </c>
      <c r="K37" s="218">
        <v>39994</v>
      </c>
      <c r="L37" s="207">
        <v>41162</v>
      </c>
      <c r="M37" s="214">
        <v>43646</v>
      </c>
      <c r="N37" s="208"/>
    </row>
    <row r="38" spans="1:14" ht="15.6" x14ac:dyDescent="0.3">
      <c r="A38" s="247">
        <v>2009</v>
      </c>
      <c r="B38" s="248" t="s">
        <v>169</v>
      </c>
      <c r="C38" s="248" t="s">
        <v>199</v>
      </c>
      <c r="D38" s="250">
        <v>7.16</v>
      </c>
      <c r="E38" s="249">
        <v>8.6274999999999995</v>
      </c>
      <c r="F38" s="249">
        <f t="shared" si="0"/>
        <v>61.77</v>
      </c>
      <c r="G38" s="388"/>
      <c r="H38" s="285"/>
      <c r="I38" s="285"/>
      <c r="J38" s="285"/>
      <c r="K38" s="448" t="s">
        <v>200</v>
      </c>
      <c r="L38" s="449"/>
      <c r="M38" s="450"/>
      <c r="N38" s="208"/>
    </row>
    <row r="39" spans="1:14" ht="13.8" x14ac:dyDescent="0.3">
      <c r="A39" s="247">
        <v>2010</v>
      </c>
      <c r="B39" s="248" t="s">
        <v>166</v>
      </c>
      <c r="C39" s="248" t="s">
        <v>201</v>
      </c>
      <c r="D39" s="250">
        <v>7.83</v>
      </c>
      <c r="E39" s="249">
        <v>8.4657999999999998</v>
      </c>
      <c r="F39" s="249">
        <f t="shared" si="0"/>
        <v>66.290000000000006</v>
      </c>
      <c r="G39" s="388" t="s">
        <v>202</v>
      </c>
      <c r="H39" s="285">
        <v>40261</v>
      </c>
      <c r="I39" s="285">
        <v>42064</v>
      </c>
      <c r="J39" s="285" t="s">
        <v>35</v>
      </c>
      <c r="K39" s="287" t="s">
        <v>186</v>
      </c>
      <c r="L39" s="288" t="s">
        <v>187</v>
      </c>
      <c r="M39" s="289" t="s">
        <v>188</v>
      </c>
      <c r="N39" s="208"/>
    </row>
    <row r="40" spans="1:14" ht="13.8" x14ac:dyDescent="0.3">
      <c r="A40" s="247">
        <v>2010</v>
      </c>
      <c r="B40" s="248" t="s">
        <v>169</v>
      </c>
      <c r="C40" s="248" t="s">
        <v>203</v>
      </c>
      <c r="D40" s="250">
        <v>8.07</v>
      </c>
      <c r="E40" s="249">
        <v>9.1252999999999993</v>
      </c>
      <c r="F40" s="249">
        <f t="shared" si="0"/>
        <v>73.64</v>
      </c>
      <c r="G40" s="388" t="s">
        <v>204</v>
      </c>
      <c r="H40" s="285">
        <v>40305</v>
      </c>
      <c r="I40" s="285">
        <v>42064</v>
      </c>
      <c r="J40" s="285">
        <v>41334</v>
      </c>
      <c r="K40" s="286">
        <v>40645</v>
      </c>
      <c r="L40" s="285">
        <v>41741</v>
      </c>
      <c r="M40" s="284">
        <v>42471</v>
      </c>
      <c r="N40" s="208"/>
    </row>
    <row r="41" spans="1:14" ht="13.8" x14ac:dyDescent="0.3">
      <c r="A41" s="247">
        <v>2011</v>
      </c>
      <c r="B41" s="248" t="s">
        <v>166</v>
      </c>
      <c r="C41" s="248" t="s">
        <v>205</v>
      </c>
      <c r="D41" s="250">
        <v>8.31</v>
      </c>
      <c r="E41" s="249">
        <v>8.8483000000000001</v>
      </c>
      <c r="F41" s="249">
        <f t="shared" si="0"/>
        <v>73.53</v>
      </c>
      <c r="G41" s="389">
        <v>2010</v>
      </c>
      <c r="H41" s="285">
        <v>40674</v>
      </c>
      <c r="I41" s="285">
        <v>42430</v>
      </c>
      <c r="J41" s="285">
        <v>41699</v>
      </c>
      <c r="K41" s="286">
        <v>40704</v>
      </c>
      <c r="L41" s="285">
        <v>41800</v>
      </c>
      <c r="M41" s="284">
        <v>42530</v>
      </c>
      <c r="N41" s="208"/>
    </row>
    <row r="42" spans="1:14" ht="13.8" x14ac:dyDescent="0.3">
      <c r="A42" s="247">
        <v>2011</v>
      </c>
      <c r="B42" s="248" t="s">
        <v>169</v>
      </c>
      <c r="C42" s="248" t="s">
        <v>206</v>
      </c>
      <c r="D42" s="250">
        <v>8.7200000000000006</v>
      </c>
      <c r="E42" s="249">
        <v>8.5344999999999995</v>
      </c>
      <c r="F42" s="249">
        <f t="shared" si="0"/>
        <v>74.42</v>
      </c>
      <c r="G42" s="389"/>
      <c r="H42" s="285"/>
      <c r="I42" s="285"/>
      <c r="J42" s="285"/>
      <c r="K42" s="286">
        <v>40819</v>
      </c>
      <c r="L42" s="285">
        <v>41913</v>
      </c>
      <c r="M42" s="284">
        <v>42646</v>
      </c>
      <c r="N42" s="208"/>
    </row>
    <row r="43" spans="1:14" ht="13.8" x14ac:dyDescent="0.3">
      <c r="A43" s="247">
        <v>2012</v>
      </c>
      <c r="B43" s="248" t="s">
        <v>166</v>
      </c>
      <c r="C43" s="248" t="s">
        <v>207</v>
      </c>
      <c r="D43" s="250">
        <v>9.33</v>
      </c>
      <c r="E43" s="249">
        <v>8.9131</v>
      </c>
      <c r="F43" s="249">
        <f t="shared" si="0"/>
        <v>83.16</v>
      </c>
      <c r="G43" s="389">
        <v>2011</v>
      </c>
      <c r="H43" s="285">
        <v>41040</v>
      </c>
      <c r="I43" s="285">
        <v>42795</v>
      </c>
      <c r="J43" s="285">
        <v>42064</v>
      </c>
      <c r="K43" s="286">
        <v>41012</v>
      </c>
      <c r="L43" s="285">
        <v>42107</v>
      </c>
      <c r="M43" s="284">
        <v>42837</v>
      </c>
      <c r="N43" s="208"/>
    </row>
    <row r="44" spans="1:14" ht="13.8" x14ac:dyDescent="0.3">
      <c r="A44" s="247">
        <v>2012</v>
      </c>
      <c r="B44" s="248" t="s">
        <v>169</v>
      </c>
      <c r="C44" s="248" t="s">
        <v>208</v>
      </c>
      <c r="D44" s="250">
        <v>9.76</v>
      </c>
      <c r="E44" s="249">
        <v>9.4581</v>
      </c>
      <c r="F44" s="249">
        <f t="shared" si="0"/>
        <v>92.31</v>
      </c>
      <c r="G44" s="388"/>
      <c r="H44" s="279"/>
      <c r="I44" s="279"/>
      <c r="J44" s="279"/>
      <c r="K44" s="286">
        <v>41187</v>
      </c>
      <c r="L44" s="285">
        <v>42282</v>
      </c>
      <c r="M44" s="284">
        <v>43012</v>
      </c>
      <c r="N44" s="208"/>
    </row>
    <row r="45" spans="1:14" ht="13.8" x14ac:dyDescent="0.3">
      <c r="A45" s="247">
        <v>2013</v>
      </c>
      <c r="B45" s="248" t="s">
        <v>166</v>
      </c>
      <c r="C45" s="251" t="s">
        <v>209</v>
      </c>
      <c r="D45" s="250">
        <v>6.27</v>
      </c>
      <c r="E45" s="249">
        <v>8.6476000000000006</v>
      </c>
      <c r="F45" s="249">
        <f t="shared" si="0"/>
        <v>54.22</v>
      </c>
      <c r="G45" s="388">
        <v>2012</v>
      </c>
      <c r="H45" s="285">
        <v>41418</v>
      </c>
      <c r="I45" s="285">
        <v>43160</v>
      </c>
      <c r="J45" s="285">
        <v>42430</v>
      </c>
      <c r="K45" s="286">
        <v>41372</v>
      </c>
      <c r="L45" s="285">
        <v>42468</v>
      </c>
      <c r="M45" s="284">
        <v>43197</v>
      </c>
      <c r="N45" s="208"/>
    </row>
    <row r="46" spans="1:14" ht="13.8" x14ac:dyDescent="0.3">
      <c r="A46" s="247">
        <v>2013</v>
      </c>
      <c r="B46" s="248" t="s">
        <v>169</v>
      </c>
      <c r="C46" s="251" t="s">
        <v>210</v>
      </c>
      <c r="D46" s="250">
        <v>6.68</v>
      </c>
      <c r="E46" s="249">
        <v>8.7337000000000007</v>
      </c>
      <c r="F46" s="249">
        <f t="shared" si="0"/>
        <v>58.34</v>
      </c>
      <c r="G46" s="389"/>
      <c r="H46" s="279"/>
      <c r="I46" s="279"/>
      <c r="J46" s="279"/>
      <c r="K46" s="286">
        <v>41561</v>
      </c>
      <c r="L46" s="285">
        <v>42657</v>
      </c>
      <c r="M46" s="284">
        <v>43386</v>
      </c>
      <c r="N46" s="208"/>
    </row>
    <row r="47" spans="1:14" ht="13.8" x14ac:dyDescent="0.3">
      <c r="A47" s="247">
        <v>2014</v>
      </c>
      <c r="B47" s="248" t="s">
        <v>166</v>
      </c>
      <c r="C47" s="251" t="s">
        <v>211</v>
      </c>
      <c r="D47" s="250">
        <v>7.3</v>
      </c>
      <c r="E47" s="249">
        <v>9.0949000000000009</v>
      </c>
      <c r="F47" s="249">
        <f>ROUND(D47*E47,2)</f>
        <v>66.39</v>
      </c>
      <c r="G47" s="389">
        <v>2013</v>
      </c>
      <c r="H47" s="285">
        <v>41759</v>
      </c>
      <c r="I47" s="285">
        <v>43525</v>
      </c>
      <c r="J47" s="285">
        <v>42795</v>
      </c>
      <c r="K47" s="286">
        <v>41740</v>
      </c>
      <c r="L47" s="285">
        <v>42836</v>
      </c>
      <c r="M47" s="284">
        <v>43565</v>
      </c>
      <c r="N47" s="208"/>
    </row>
    <row r="48" spans="1:14" customFormat="1" ht="14.4" x14ac:dyDescent="0.3">
      <c r="A48" s="247">
        <v>2014</v>
      </c>
      <c r="B48" s="248" t="s">
        <v>169</v>
      </c>
      <c r="C48" s="251" t="s">
        <v>274</v>
      </c>
      <c r="D48" s="250">
        <v>7.88</v>
      </c>
      <c r="E48" s="249">
        <v>9.3036999999999992</v>
      </c>
      <c r="F48" s="249">
        <f>ROUND(D48*E48,2)</f>
        <v>73.31</v>
      </c>
      <c r="G48" s="389"/>
      <c r="H48" s="285"/>
      <c r="I48" s="285"/>
      <c r="J48" s="285"/>
      <c r="K48" s="286">
        <v>41929</v>
      </c>
      <c r="L48" s="285">
        <v>43025</v>
      </c>
      <c r="M48" s="284">
        <v>43755</v>
      </c>
    </row>
    <row r="49" spans="1:14" customFormat="1" ht="14.4" x14ac:dyDescent="0.3">
      <c r="A49" s="247">
        <v>2015</v>
      </c>
      <c r="B49" s="248" t="s">
        <v>166</v>
      </c>
      <c r="C49" s="251" t="s">
        <v>273</v>
      </c>
      <c r="D49" s="250">
        <v>8.91</v>
      </c>
      <c r="E49" s="249">
        <v>10.0853</v>
      </c>
      <c r="F49" s="249">
        <f>ROUND(D49*E49,2)</f>
        <v>89.86</v>
      </c>
      <c r="G49" s="389">
        <v>2014</v>
      </c>
      <c r="H49" s="378">
        <v>42104</v>
      </c>
      <c r="I49" s="285">
        <v>43891</v>
      </c>
      <c r="J49" s="285">
        <v>43160</v>
      </c>
      <c r="K49" s="392">
        <v>42103</v>
      </c>
      <c r="L49" s="378">
        <v>43199</v>
      </c>
      <c r="M49" s="390">
        <v>43929</v>
      </c>
    </row>
    <row r="50" spans="1:14" s="293" customFormat="1" ht="15" thickBot="1" x14ac:dyDescent="0.35">
      <c r="A50" s="398">
        <v>2015</v>
      </c>
      <c r="B50" s="399" t="s">
        <v>192</v>
      </c>
      <c r="C50" s="400" t="s">
        <v>308</v>
      </c>
      <c r="D50" s="417">
        <v>23.893444552599998</v>
      </c>
      <c r="E50" s="249">
        <v>10.304399999999999</v>
      </c>
      <c r="F50" s="249">
        <f>ROUND(D50*E50,2)</f>
        <v>246.21</v>
      </c>
      <c r="G50" s="391"/>
      <c r="H50" s="281"/>
      <c r="I50" s="283"/>
      <c r="J50" s="283"/>
      <c r="K50" s="282"/>
      <c r="L50" s="281"/>
      <c r="M50" s="280"/>
    </row>
    <row r="51" spans="1:14" ht="25.5" customHeight="1" x14ac:dyDescent="0.3">
      <c r="A51" s="451" t="s">
        <v>212</v>
      </c>
      <c r="B51" s="452"/>
      <c r="C51" s="452"/>
      <c r="D51" s="221" t="s">
        <v>45</v>
      </c>
      <c r="E51" s="235"/>
      <c r="F51" s="235"/>
      <c r="G51" s="219"/>
      <c r="H51" s="208"/>
      <c r="I51" s="208"/>
      <c r="J51" s="208"/>
      <c r="K51" s="207"/>
      <c r="L51" s="207"/>
      <c r="M51" s="207"/>
      <c r="N51" s="203"/>
    </row>
    <row r="52" spans="1:14" ht="13.8" x14ac:dyDescent="0.3">
      <c r="A52" s="200">
        <v>1988</v>
      </c>
      <c r="B52" s="201" t="s">
        <v>213</v>
      </c>
      <c r="C52" s="222" t="s">
        <v>214</v>
      </c>
      <c r="D52" s="202">
        <v>0.28000000000000003</v>
      </c>
      <c r="E52" s="203"/>
      <c r="F52" s="203"/>
      <c r="G52" s="219"/>
      <c r="H52" s="208"/>
      <c r="I52" s="208"/>
      <c r="J52" s="208"/>
      <c r="N52" s="203"/>
    </row>
    <row r="53" spans="1:14" ht="13.8" x14ac:dyDescent="0.3">
      <c r="A53" s="200">
        <v>1988</v>
      </c>
      <c r="B53" s="201" t="s">
        <v>213</v>
      </c>
      <c r="C53" s="222" t="s">
        <v>215</v>
      </c>
      <c r="D53" s="202">
        <v>0.28000000000000003</v>
      </c>
      <c r="E53" s="203"/>
      <c r="F53" s="203"/>
      <c r="G53" s="219"/>
      <c r="H53" s="203"/>
      <c r="I53" s="203"/>
      <c r="J53" s="203"/>
      <c r="K53" s="203"/>
      <c r="L53" s="197"/>
      <c r="M53" s="197"/>
      <c r="N53" s="197"/>
    </row>
    <row r="54" spans="1:14" ht="13.8" x14ac:dyDescent="0.3">
      <c r="A54" s="200">
        <v>1989</v>
      </c>
      <c r="B54" s="201" t="s">
        <v>216</v>
      </c>
      <c r="C54" s="222" t="s">
        <v>217</v>
      </c>
      <c r="D54" s="202">
        <v>0.34</v>
      </c>
      <c r="E54" s="203"/>
      <c r="F54" s="203"/>
      <c r="G54" s="219"/>
      <c r="H54" s="203"/>
      <c r="I54" s="203"/>
      <c r="J54" s="203"/>
      <c r="K54" s="203"/>
      <c r="L54" s="197"/>
      <c r="M54" s="197"/>
      <c r="N54" s="197"/>
    </row>
    <row r="55" spans="1:14" ht="13.8" x14ac:dyDescent="0.3">
      <c r="A55" s="200">
        <v>1989</v>
      </c>
      <c r="B55" s="201" t="s">
        <v>213</v>
      </c>
      <c r="C55" s="222" t="s">
        <v>217</v>
      </c>
      <c r="D55" s="202">
        <v>0.34</v>
      </c>
      <c r="E55" s="203"/>
      <c r="F55" s="203"/>
      <c r="G55" s="198"/>
      <c r="H55" s="197"/>
      <c r="I55" s="197"/>
      <c r="J55" s="197"/>
      <c r="K55" s="197"/>
      <c r="L55" s="197"/>
      <c r="M55" s="197"/>
      <c r="N55" s="197"/>
    </row>
    <row r="56" spans="1:14" ht="13.8" x14ac:dyDescent="0.3">
      <c r="A56" s="200">
        <v>1989</v>
      </c>
      <c r="B56" s="201" t="s">
        <v>192</v>
      </c>
      <c r="C56" s="222" t="s">
        <v>218</v>
      </c>
      <c r="D56" s="202">
        <v>0.42</v>
      </c>
      <c r="E56" s="203"/>
      <c r="F56" s="203"/>
      <c r="G56" s="198"/>
      <c r="H56" s="197"/>
      <c r="I56" s="197"/>
      <c r="J56" s="197"/>
      <c r="K56" s="197"/>
      <c r="L56" s="197"/>
      <c r="M56" s="197"/>
      <c r="N56" s="197"/>
    </row>
    <row r="57" spans="1:14" ht="13.8" x14ac:dyDescent="0.3">
      <c r="A57" s="200">
        <v>1990</v>
      </c>
      <c r="B57" s="201" t="s">
        <v>159</v>
      </c>
      <c r="C57" s="222" t="s">
        <v>217</v>
      </c>
      <c r="D57" s="202">
        <v>0.42</v>
      </c>
      <c r="E57" s="203"/>
      <c r="F57" s="203"/>
      <c r="G57" s="198"/>
      <c r="H57" s="197"/>
      <c r="I57" s="197"/>
      <c r="J57" s="197"/>
      <c r="K57" s="197"/>
      <c r="L57" s="197"/>
      <c r="M57" s="197"/>
      <c r="N57" s="197"/>
    </row>
    <row r="58" spans="1:14" ht="13.8" x14ac:dyDescent="0.3">
      <c r="A58" s="200">
        <v>1991</v>
      </c>
      <c r="B58" s="201" t="s">
        <v>216</v>
      </c>
      <c r="C58" s="222" t="s">
        <v>217</v>
      </c>
      <c r="D58" s="202">
        <v>0.28000000000000003</v>
      </c>
      <c r="E58" s="203"/>
      <c r="F58" s="203"/>
      <c r="G58" s="198"/>
      <c r="H58" s="197"/>
      <c r="I58" s="197"/>
      <c r="J58" s="197"/>
      <c r="K58" s="197"/>
      <c r="L58" s="197"/>
      <c r="M58" s="197"/>
      <c r="N58" s="197"/>
    </row>
    <row r="59" spans="1:14" ht="13.8" x14ac:dyDescent="0.3">
      <c r="A59" s="200">
        <v>1992</v>
      </c>
      <c r="B59" s="201" t="s">
        <v>169</v>
      </c>
      <c r="C59" s="222" t="s">
        <v>217</v>
      </c>
      <c r="D59" s="202">
        <v>0.15</v>
      </c>
      <c r="E59" s="203"/>
      <c r="F59" s="203"/>
      <c r="G59" s="198"/>
      <c r="H59" s="197"/>
      <c r="I59" s="197"/>
      <c r="J59" s="197"/>
      <c r="K59" s="197"/>
      <c r="L59" s="197"/>
      <c r="M59" s="197"/>
      <c r="N59" s="197"/>
    </row>
    <row r="60" spans="1:14" ht="13.8" x14ac:dyDescent="0.3">
      <c r="A60" s="200">
        <v>1989</v>
      </c>
      <c r="B60" s="201" t="s">
        <v>151</v>
      </c>
      <c r="C60" s="222" t="s">
        <v>219</v>
      </c>
      <c r="D60" s="202">
        <v>0.42</v>
      </c>
      <c r="E60" s="203"/>
      <c r="F60" s="203"/>
      <c r="G60" s="198"/>
      <c r="H60" s="197"/>
      <c r="I60" s="197"/>
      <c r="J60" s="197"/>
      <c r="K60" s="197"/>
      <c r="L60" s="197"/>
      <c r="M60" s="197"/>
      <c r="N60" s="197"/>
    </row>
    <row r="61" spans="1:14" ht="13.8" x14ac:dyDescent="0.3">
      <c r="A61" s="200">
        <v>1990</v>
      </c>
      <c r="B61" s="201" t="s">
        <v>159</v>
      </c>
      <c r="C61" s="222" t="s">
        <v>220</v>
      </c>
      <c r="D61" s="202">
        <v>0.42</v>
      </c>
      <c r="E61" s="203"/>
      <c r="F61" s="203"/>
      <c r="G61" s="198"/>
      <c r="H61" s="197"/>
      <c r="I61" s="197"/>
      <c r="J61" s="197"/>
      <c r="K61" s="197"/>
      <c r="L61" s="197"/>
      <c r="M61" s="197"/>
      <c r="N61" s="197"/>
    </row>
    <row r="62" spans="1:14" ht="13.8" x14ac:dyDescent="0.3">
      <c r="A62" s="200">
        <v>1990</v>
      </c>
      <c r="B62" s="201" t="s">
        <v>151</v>
      </c>
      <c r="C62" s="222" t="s">
        <v>221</v>
      </c>
      <c r="D62" s="220">
        <v>0.34</v>
      </c>
      <c r="E62" s="203"/>
      <c r="F62" s="203"/>
      <c r="G62" s="198"/>
      <c r="H62" s="197"/>
      <c r="I62" s="197"/>
      <c r="J62" s="197"/>
      <c r="K62" s="197"/>
      <c r="L62" s="197"/>
      <c r="M62" s="197"/>
      <c r="N62" s="197"/>
    </row>
    <row r="63" spans="1:14" ht="14.4" thickBot="1" x14ac:dyDescent="0.35">
      <c r="A63" s="223">
        <v>1991</v>
      </c>
      <c r="B63" s="224" t="s">
        <v>146</v>
      </c>
      <c r="C63" s="225" t="s">
        <v>222</v>
      </c>
      <c r="D63" s="226">
        <v>0.28000000000000003</v>
      </c>
      <c r="E63" s="203"/>
      <c r="F63" s="203"/>
      <c r="G63" s="198"/>
      <c r="H63" s="197"/>
      <c r="I63" s="197"/>
      <c r="J63" s="197"/>
      <c r="K63" s="197"/>
      <c r="L63" s="197"/>
      <c r="M63" s="197"/>
      <c r="N63" s="197"/>
    </row>
    <row r="64" spans="1:14" ht="13.8" x14ac:dyDescent="0.3">
      <c r="A64" s="201"/>
      <c r="B64" s="195"/>
      <c r="C64" s="227"/>
      <c r="D64" s="228"/>
      <c r="E64" s="197"/>
      <c r="F64" s="197"/>
      <c r="G64" s="198"/>
      <c r="H64" s="197"/>
      <c r="I64" s="197"/>
      <c r="J64" s="197"/>
      <c r="K64" s="197"/>
      <c r="L64" s="197"/>
      <c r="M64" s="197"/>
      <c r="N64" s="197"/>
    </row>
    <row r="65" spans="1:4" x14ac:dyDescent="0.25">
      <c r="A65" s="229"/>
      <c r="B65" s="230"/>
      <c r="C65" s="231"/>
      <c r="D65" s="232"/>
    </row>
    <row r="66" spans="1:4" x14ac:dyDescent="0.25">
      <c r="A66" s="229"/>
      <c r="B66" s="230"/>
      <c r="C66" s="231"/>
      <c r="D66" s="232"/>
    </row>
  </sheetData>
  <mergeCells count="11">
    <mergeCell ref="K27:M27"/>
    <mergeCell ref="K38:M38"/>
    <mergeCell ref="A51:C51"/>
    <mergeCell ref="G2:M2"/>
    <mergeCell ref="H3:H6"/>
    <mergeCell ref="I3:M3"/>
    <mergeCell ref="I4:I6"/>
    <mergeCell ref="J4:J6"/>
    <mergeCell ref="K4:K6"/>
    <mergeCell ref="L4:L6"/>
    <mergeCell ref="M4:M6"/>
  </mergeCells>
  <pageMargins left="0.74803149606299213" right="0.74803149606299213" top="0.59055118110236227" bottom="0.39370078740157483" header="0.51181102362204722" footer="0.2362204724409449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ite_x0020_type xmlns="36edc812-9e9f-42a5-a30d-c3a9bcd00741" xsi:nil="true"/>
    <Administrator xmlns="36edc812-9e9f-42a5-a30d-c3a9bcd00741">
      <UserInfo>
        <DisplayName/>
        <AccountId xsi:nil="true"/>
        <AccountType/>
      </UserInfo>
    </Administrator>
    <Client xmlns="36edc812-9e9f-42a5-a30d-c3a9bcd00741" xsi:nil="true"/>
    <ReportOwner xmlns="http://schemas.microsoft.com/sharepoint/v3">
      <UserInfo>
        <DisplayName/>
        <AccountId xsi:nil="true"/>
        <AccountType/>
      </UserInfo>
    </ReportOwner>
    <bb48fa43295b4f439fc7e65db7c06692 xmlns="36edc812-9e9f-42a5-a30d-c3a9bcd00741">
      <Terms xmlns="http://schemas.microsoft.com/office/infopath/2007/PartnerControls"/>
    </bb48fa43295b4f439fc7e65db7c06692>
    <Site_x0020_name xmlns="36edc812-9e9f-42a5-a30d-c3a9bcd00741" xsi:nil="true"/>
    <o4633d49e4cc44e387c88698411faa26 xmlns="36edc812-9e9f-42a5-a30d-c3a9bcd00741">
      <Terms xmlns="http://schemas.microsoft.com/office/infopath/2007/PartnerControls"/>
    </o4633d49e4cc44e387c88698411faa26>
    <RateValue xmlns="http://schemas.microsoft.com/sharepoint/v3" xsi:nil="true"/>
    <Member xmlns="36edc812-9e9f-42a5-a30d-c3a9bcd00741">
      <UserInfo>
        <DisplayName/>
        <AccountId xsi:nil="true"/>
        <AccountType/>
      </UserInfo>
    </Member>
    <RateStorage xmlns="http://schemas.microsoft.com/sharepoint/v3" xsi:nil="true"/>
    <a36dabc63ec6436b850783f29946a443 xmlns="36edc812-9e9f-42a5-a30d-c3a9bcd00741">
      <Terms xmlns="http://schemas.microsoft.com/office/infopath/2007/PartnerControls"/>
    </a36dabc63ec6436b850783f29946a443>
    <Prospect_x0020_code xmlns="36edc812-9e9f-42a5-a30d-c3a9bcd00741" xsi:nil="true"/>
    <Proposition xmlns="36edc812-9e9f-42a5-a30d-c3a9bcd00741" xsi:nil="true"/>
    <h245cd1404804f2b87749efa01ef63fa xmlns="36edc812-9e9f-42a5-a30d-c3a9bcd00741">
      <Terms xmlns="http://schemas.microsoft.com/office/infopath/2007/PartnerControls"/>
    </h245cd1404804f2b87749efa01ef63fa>
    <RateComments xmlns="http://schemas.microsoft.com/sharepoint/v3" xsi:nil="true"/>
    <TaxCatchAll xmlns="36edc812-9e9f-42a5-a30d-c3a9bcd00741"/>
    <e7e30244e04b4964a123d6364eef78c7 xmlns="36edc812-9e9f-42a5-a30d-c3a9bcd00741">
      <Terms xmlns="http://schemas.microsoft.com/office/infopath/2007/PartnerControls"/>
    </e7e30244e04b4964a123d6364eef78c7>
    <Second_x0020_owner xmlns="36edc812-9e9f-42a5-a30d-c3a9bcd00741">
      <UserInfo>
        <DisplayName/>
        <AccountId xsi:nil="true"/>
        <AccountType/>
      </UserInfo>
    </Second_x0020_owner>
    <Job_x0020_code xmlns="36edc812-9e9f-42a5-a30d-c3a9bcd00741" xsi:nil="true"/>
    <Other xmlns="36edc812-9e9f-42a5-a30d-c3a9bcd00741" xsi:nil="true"/>
    <da358f0ef6834fb5b0e18def3f2e7a14 xmlns="36edc812-9e9f-42a5-a30d-c3a9bcd00741">
      <Terms xmlns="http://schemas.microsoft.com/office/infopath/2007/PartnerControls"/>
    </da358f0ef6834fb5b0e18def3f2e7a14>
    <Manager xmlns="36edc812-9e9f-42a5-a30d-c3a9bcd00741">
      <UserInfo>
        <DisplayName/>
        <AccountId xsi:nil="true"/>
        <AccountType/>
      </UserInfo>
    </Manager>
  </documentManagement>
</p:properties>
</file>

<file path=customXml/item2.xml><?xml version="1.0" encoding="utf-8"?>
<ct:contentTypeSchema xmlns:ct="http://schemas.microsoft.com/office/2006/metadata/contentType" xmlns:ma="http://schemas.microsoft.com/office/2006/metadata/properties/metaAttributes" ct:_="" ma:_="" ma:contentTypeName="PADocumentLibraries - PA Document Base" ma:contentTypeID="0x0101001B940DAB6AD6487085FD25BA3A462A9F005362804AAEBF4299ABE7ECAB24B53313005ACA7E082C3B694A99AA3DBFAA996377" ma:contentTypeVersion="25" ma:contentTypeDescription="My Content Type" ma:contentTypeScope="" ma:versionID="59d1ab8aae44d05927e530e74f3839eb">
  <xsd:schema xmlns:xsd="http://www.w3.org/2001/XMLSchema" xmlns:xs="http://www.w3.org/2001/XMLSchema" xmlns:p="http://schemas.microsoft.com/office/2006/metadata/properties" xmlns:ns1="http://schemas.microsoft.com/sharepoint/v3" xmlns:ns3="36edc812-9e9f-42a5-a30d-c3a9bcd00741" targetNamespace="http://schemas.microsoft.com/office/2006/metadata/properties" ma:root="true" ma:fieldsID="b4cb26cd06f154700177c912ba3415eb" ns1:_="" ns3:_="">
    <xsd:import namespace="http://schemas.microsoft.com/sharepoint/v3"/>
    <xsd:import namespace="36edc812-9e9f-42a5-a30d-c3a9bcd00741"/>
    <xsd:element name="properties">
      <xsd:complexType>
        <xsd:sequence>
          <xsd:element name="documentManagement">
            <xsd:complexType>
              <xsd:all>
                <xsd:element ref="ns1:RateValue" minOccurs="0"/>
                <xsd:element ref="ns1:RateStorage" minOccurs="0"/>
                <xsd:element ref="ns1:RateComments" minOccurs="0"/>
                <xsd:element ref="ns3:Site_x0020_name" minOccurs="0"/>
                <xsd:element ref="ns1:ReportOwner" minOccurs="0"/>
                <xsd:element ref="ns3:Second_x0020_owner" minOccurs="0"/>
                <xsd:element ref="ns3:Manager" minOccurs="0"/>
                <xsd:element ref="ns3:Administrator" minOccurs="0"/>
                <xsd:element ref="ns3:Member" minOccurs="0"/>
                <xsd:element ref="ns3:h245cd1404804f2b87749efa01ef63fa" minOccurs="0"/>
                <xsd:element ref="ns3:TaxCatchAll" minOccurs="0"/>
                <xsd:element ref="ns3:da358f0ef6834fb5b0e18def3f2e7a14" minOccurs="0"/>
                <xsd:element ref="ns3:bb48fa43295b4f439fc7e65db7c06692" minOccurs="0"/>
                <xsd:element ref="ns3:a36dabc63ec6436b850783f29946a443" minOccurs="0"/>
                <xsd:element ref="ns3:o4633d49e4cc44e387c88698411faa26" minOccurs="0"/>
                <xsd:element ref="ns3:e7e30244e04b4964a123d6364eef78c7" minOccurs="0"/>
                <xsd:element ref="ns3:Proposition" minOccurs="0"/>
                <xsd:element ref="ns3:Other" minOccurs="0"/>
                <xsd:element ref="ns3:Job_x0020_code" minOccurs="0"/>
                <xsd:element ref="ns3:Prospect_x0020_code" minOccurs="0"/>
                <xsd:element ref="ns3:Client" minOccurs="0"/>
                <xsd:element ref="ns3:Site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ateValue" ma:index="8" nillable="true" ma:displayName="Vote Results" ma:internalName="RateValue">
      <xsd:simpleType>
        <xsd:restriction base="dms:Unknown"/>
      </xsd:simpleType>
    </xsd:element>
    <xsd:element name="RateStorage" ma:index="9" nillable="true" ma:displayName="Vote History" ma:hidden="true" ma:internalName="RateStorage">
      <xsd:simpleType>
        <xsd:restriction base="dms:Note"/>
      </xsd:simpleType>
    </xsd:element>
    <xsd:element name="RateComments" ma:index="10" nillable="true" ma:displayName="View Comments" ma:internalName="RateComments">
      <xsd:simpleType>
        <xsd:restriction base="dms:Unknown"/>
      </xsd:simpleType>
    </xsd:element>
    <xsd:element name="ReportOwner" ma:index="12" nillable="true" ma:displayName="Owner" ma:description="Owner of this document" ma:list="UserInfo" ma:internalName="Repor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6edc812-9e9f-42a5-a30d-c3a9bcd00741" elementFormDefault="qualified">
    <xsd:import namespace="http://schemas.microsoft.com/office/2006/documentManagement/types"/>
    <xsd:import namespace="http://schemas.microsoft.com/office/infopath/2007/PartnerControls"/>
    <xsd:element name="Site_x0020_name" ma:index="11" nillable="true" ma:displayName="Site name" ma:internalName="Site_x0020_name">
      <xsd:simpleType>
        <xsd:restriction base="dms:Text"/>
      </xsd:simpleType>
    </xsd:element>
    <xsd:element name="Second_x0020_owner" ma:index="13" nillable="true" ma:displayName="Second owner" ma:list="UserInfo" ma:internalName="Second_x0020_own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nager" ma:index="14" nillable="true" ma:displayName="Manager" ma:list="UserInfo" ma:internalName="Mana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ministrator" ma:index="15" nillable="true" ma:displayName="Administrator" ma:list="UserInfo" ma:internalName="Administrato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 ma:index="16" nillable="true" ma:displayName="Member" ma:list="UserInfo" ma:internalName="Memb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245cd1404804f2b87749efa01ef63fa" ma:index="18" nillable="true" ma:taxonomy="true" ma:internalName="h245cd1404804f2b87749efa01ef63fa" ma:taxonomyFieldName="Accounts" ma:displayName="Accounts" ma:fieldId="{1245cd14-0480-4f2b-8774-9efa01ef63fa}" ma:taxonomyMulti="true" ma:sspId="25c2aa33-f802-416f-a311-ea97a475656c" ma:termSetId="374c4141-0886-4068-8b0b-bc7719a558bb"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457c443b-7a8e-445f-9f9c-c89fa8962c7c}" ma:internalName="TaxCatchAll" ma:showField="CatchAllData" ma:web="36edc812-9e9f-42a5-a30d-c3a9bcd00741">
      <xsd:complexType>
        <xsd:complexContent>
          <xsd:extension base="dms:MultiChoiceLookup">
            <xsd:sequence>
              <xsd:element name="Value" type="dms:Lookup" maxOccurs="unbounded" minOccurs="0" nillable="true"/>
            </xsd:sequence>
          </xsd:extension>
        </xsd:complexContent>
      </xsd:complexType>
    </xsd:element>
    <xsd:element name="da358f0ef6834fb5b0e18def3f2e7a14" ma:index="21" nillable="true" ma:taxonomy="true" ma:internalName="da358f0ef6834fb5b0e18def3f2e7a14" ma:taxonomyFieldName="Sector" ma:displayName="Sector" ma:fieldId="{da358f0e-f683-4fb5-b0e1-8def3f2e7a14}" ma:taxonomyMulti="true" ma:sspId="25c2aa33-f802-416f-a311-ea97a475656c" ma:termSetId="1a14f47f-11ff-4b4d-a00f-1ebe1d5ac58c" ma:anchorId="00000000-0000-0000-0000-000000000000" ma:open="false" ma:isKeyword="false">
      <xsd:complexType>
        <xsd:sequence>
          <xsd:element ref="pc:Terms" minOccurs="0" maxOccurs="1"/>
        </xsd:sequence>
      </xsd:complexType>
    </xsd:element>
    <xsd:element name="bb48fa43295b4f439fc7e65db7c06692" ma:index="23" nillable="true" ma:taxonomy="true" ma:internalName="bb48fa43295b4f439fc7e65db7c06692" ma:taxonomyFieldName="Services" ma:displayName="Services" ma:fieldId="{bb48fa43-295b-4f43-9fc7-e65db7c06692}" ma:taxonomyMulti="true" ma:sspId="25c2aa33-f802-416f-a311-ea97a475656c" ma:termSetId="4c2fc073-23bb-4c1c-acf2-b426c59928f4" ma:anchorId="00000000-0000-0000-0000-000000000000" ma:open="false" ma:isKeyword="false">
      <xsd:complexType>
        <xsd:sequence>
          <xsd:element ref="pc:Terms" minOccurs="0" maxOccurs="1"/>
        </xsd:sequence>
      </xsd:complexType>
    </xsd:element>
    <xsd:element name="a36dabc63ec6436b850783f29946a443" ma:index="25" nillable="true" ma:taxonomy="true" ma:internalName="a36dabc63ec6436b850783f29946a443" ma:taxonomyFieldName="Organisation" ma:displayName="Organisation" ma:fieldId="{a36dabc6-3ec6-436b-8507-83f29946a443}" ma:taxonomyMulti="true" ma:sspId="25c2aa33-f802-416f-a311-ea97a475656c" ma:termSetId="d920a1d6-39ea-4932-8d69-799cf1c28e39" ma:anchorId="00000000-0000-0000-0000-000000000000" ma:open="false" ma:isKeyword="false">
      <xsd:complexType>
        <xsd:sequence>
          <xsd:element ref="pc:Terms" minOccurs="0" maxOccurs="1"/>
        </xsd:sequence>
      </xsd:complexType>
    </xsd:element>
    <xsd:element name="o4633d49e4cc44e387c88698411faa26" ma:index="27" nillable="true" ma:taxonomy="true" ma:internalName="o4633d49e4cc44e387c88698411faa26" ma:taxonomyFieldName="Geography" ma:displayName="Geography" ma:fieldId="{84633d49-e4cc-44e3-87c8-8698411faa26}" ma:taxonomyMulti="true" ma:sspId="25c2aa33-f802-416f-a311-ea97a475656c" ma:termSetId="a6daf25b-fa3c-482c-8292-066c40c1ae1a" ma:anchorId="00000000-0000-0000-0000-000000000000" ma:open="false" ma:isKeyword="false">
      <xsd:complexType>
        <xsd:sequence>
          <xsd:element ref="pc:Terms" minOccurs="0" maxOccurs="1"/>
        </xsd:sequence>
      </xsd:complexType>
    </xsd:element>
    <xsd:element name="e7e30244e04b4964a123d6364eef78c7" ma:index="29" nillable="true" ma:taxonomy="true" ma:internalName="e7e30244e04b4964a123d6364eef78c7" ma:taxonomyFieldName="Confidentiality" ma:displayName="Confidentiality" ma:fieldId="{e7e30244-e04b-4964-a123-d6364eef78c7}" ma:sspId="25c2aa33-f802-416f-a311-ea97a475656c" ma:termSetId="8858d6b5-0ce3-4714-9b56-76dbd3cf9c1d" ma:anchorId="00000000-0000-0000-0000-000000000000" ma:open="false" ma:isKeyword="false">
      <xsd:complexType>
        <xsd:sequence>
          <xsd:element ref="pc:Terms" minOccurs="0" maxOccurs="1"/>
        </xsd:sequence>
      </xsd:complexType>
    </xsd:element>
    <xsd:element name="Proposition" ma:index="30" nillable="true" ma:displayName="Proposition" ma:internalName="Proposition">
      <xsd:simpleType>
        <xsd:restriction base="dms:Text"/>
      </xsd:simpleType>
    </xsd:element>
    <xsd:element name="Other" ma:index="31" nillable="true" ma:displayName="Other" ma:internalName="Other">
      <xsd:simpleType>
        <xsd:restriction base="dms:Text"/>
      </xsd:simpleType>
    </xsd:element>
    <xsd:element name="Job_x0020_code" ma:index="32" nillable="true" ma:displayName="Job code" ma:internalName="Job_x0020_code">
      <xsd:simpleType>
        <xsd:restriction base="dms:Text"/>
      </xsd:simpleType>
    </xsd:element>
    <xsd:element name="Prospect_x0020_code" ma:index="33" nillable="true" ma:displayName="Prospect code" ma:internalName="Prospect_x0020_code">
      <xsd:simpleType>
        <xsd:restriction base="dms:Text"/>
      </xsd:simpleType>
    </xsd:element>
    <xsd:element name="Client" ma:index="34" nillable="true" ma:displayName="Client" ma:internalName="Client">
      <xsd:simpleType>
        <xsd:restriction base="dms:Text"/>
      </xsd:simpleType>
    </xsd:element>
    <xsd:element name="Site_x0020_type" ma:index="35" nillable="true" ma:displayName="Site type" ma:internalName="Site_x0020_typ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D2C173-5ED0-47AC-9D57-9B60A4DF3C2E}">
  <ds:schemaRefs>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schemas.microsoft.com/sharepoint/v3"/>
    <ds:schemaRef ds:uri="36edc812-9e9f-42a5-a30d-c3a9bcd00741"/>
    <ds:schemaRef ds:uri="http://www.w3.org/XML/1998/namespace"/>
    <ds:schemaRef ds:uri="http://purl.org/dc/dcmitype/"/>
  </ds:schemaRefs>
</ds:datastoreItem>
</file>

<file path=customXml/itemProps2.xml><?xml version="1.0" encoding="utf-8"?>
<ds:datastoreItem xmlns:ds="http://schemas.openxmlformats.org/officeDocument/2006/customXml" ds:itemID="{5DC5B60D-F527-4F96-B76A-94910F26E4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6edc812-9e9f-42a5-a30d-c3a9bcd007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BED6E4-FA8F-473C-95DC-1AD410C6F0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Version &amp; Notes</vt:lpstr>
      <vt:lpstr>Your PA share history</vt:lpstr>
      <vt:lpstr>Skattemæssig værdi af PA aktier</vt:lpstr>
      <vt:lpstr>Skattemæssig værdi 2015</vt:lpstr>
      <vt:lpstr>Skattemæssig værdi 2014</vt:lpstr>
      <vt:lpstr>Skattemæssig værdi 2013</vt:lpstr>
      <vt:lpstr>PA Share price table</vt:lpstr>
      <vt:lpstr>'PA Share price table'!Print_Area</vt:lpstr>
      <vt:lpstr>'Skattemæssig værdi 2013'!Print_Area</vt:lpstr>
      <vt:lpstr>'Skattemæssig værdi 2014'!Print_Area</vt:lpstr>
      <vt:lpstr>'Skattemæssig værdi 2015'!Print_Area</vt:lpstr>
      <vt:lpstr>'Skattemæssig værdi af PA aktier'!Print_Area</vt:lpstr>
      <vt:lpstr>'Version &amp; Notes'!Print_Area</vt:lpstr>
      <vt:lpstr>'Your PA share history'!Print_Area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Vickerstaffe</dc:creator>
  <cp:lastModifiedBy>Robert Atkinson</cp:lastModifiedBy>
  <cp:lastPrinted>2014-04-01T10:47:51Z</cp:lastPrinted>
  <dcterms:created xsi:type="dcterms:W3CDTF">2014-03-24T12:41:36Z</dcterms:created>
  <dcterms:modified xsi:type="dcterms:W3CDTF">2015-12-22T09:31:45Z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counts">
    <vt:lpwstr/>
  </property>
  <property fmtid="{D5CDD505-2E9C-101B-9397-08002B2CF9AE}" pid="3" name="Sector">
    <vt:lpwstr/>
  </property>
  <property fmtid="{D5CDD505-2E9C-101B-9397-08002B2CF9AE}" pid="4" name="Geography">
    <vt:lpwstr/>
  </property>
  <property fmtid="{D5CDD505-2E9C-101B-9397-08002B2CF9AE}" pid="5" name="Confidentiality">
    <vt:lpwstr/>
  </property>
  <property fmtid="{D5CDD505-2E9C-101B-9397-08002B2CF9AE}" pid="6" name="Organisation">
    <vt:lpwstr/>
  </property>
  <property fmtid="{D5CDD505-2E9C-101B-9397-08002B2CF9AE}" pid="7" name="ContentTypeId">
    <vt:lpwstr>0x0101001B940DAB6AD6487085FD25BA3A462A9F005362804AAEBF4299ABE7ECAB24B53313005ACA7E082C3B694A99AA3DBFAA996377</vt:lpwstr>
  </property>
  <property fmtid="{D5CDD505-2E9C-101B-9397-08002B2CF9AE}" pid="8" name="Services">
    <vt:lpwstr/>
  </property>
  <property fmtid="{D5CDD505-2E9C-101B-9397-08002B2CF9AE}" pid="9" name="Owner">
    <vt:lpwstr>1180;#Tamara Doedee</vt:lpwstr>
  </property>
  <property fmtid="{D5CDD505-2E9C-101B-9397-08002B2CF9AE}" pid="10" name="SV_QUERY_LIST_4F35BF76-6C0D-4D9B-82B2-816C12CF3733">
    <vt:lpwstr>empty_477D106A-C0D6-4607-AEBD-E2C9D60EA279</vt:lpwstr>
  </property>
</Properties>
</file>