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Z:\0 - Share plan transactions\6 -  H1 2026\Project Cedar\CGT Calculators\Published on PA external site\"/>
    </mc:Choice>
  </mc:AlternateContent>
  <xr:revisionPtr revIDLastSave="0" documentId="8_{5A8AB4DB-E273-4FE1-B74B-9DC8FDB647AD}" xr6:coauthVersionLast="47" xr6:coauthVersionMax="47" xr10:uidLastSave="{00000000-0000-0000-0000-000000000000}"/>
  <bookViews>
    <workbookView xWindow="-57720" yWindow="-1725" windowWidth="29040" windowHeight="15720" tabRatio="786" xr2:uid="{0719FEDD-E25F-49A9-95F8-F48BC30BEF3F}"/>
  </bookViews>
  <sheets>
    <sheet name="START HERE" sheetId="13" r:id="rId1"/>
    <sheet name="Tax Return 2025-26" sheetId="12" r:id="rId2"/>
    <sheet name="Share Unit Pool" sheetId="2" r:id="rId3"/>
    <sheet name="C Share Pool" sheetId="3" r:id="rId4"/>
    <sheet name="20 March 2026 Sale" sheetId="16" r:id="rId5"/>
    <sheet name="Data Share Units" sheetId="15" r:id="rId6"/>
    <sheet name="Data CShare" sheetId="18" r:id="rId7"/>
  </sheets>
  <definedNames>
    <definedName name="_xlnm._FilterDatabase" localSheetId="3" hidden="1">'C Share Pool'!$B$6:$S$46</definedName>
    <definedName name="_xlnm._FilterDatabase" localSheetId="2" hidden="1">'Share Unit Pool'!$B$5:$S$6</definedName>
    <definedName name="Car">#REF!</definedName>
    <definedName name="ClosingBOrdinary">'START HERE'!$G$60</definedName>
    <definedName name="ClosingCOrdinary">'START HERE'!$G$61</definedName>
    <definedName name="CompanyDirector">#REF!</definedName>
    <definedName name="COMPETING_LVR">#REF!</definedName>
    <definedName name="COMPETING_LVR_17">#REF!</definedName>
    <definedName name="COMPETING_LVR_18">#REF!</definedName>
    <definedName name="COMPETING_LVR_19">#REF!</definedName>
    <definedName name="CURRENT_PA_2016">#REF!</definedName>
    <definedName name="CURRENT_PA_2017">#REF!</definedName>
    <definedName name="CURRENT_PA_2018">#REF!</definedName>
    <definedName name="CURRENT_PA_2019">#REF!</definedName>
    <definedName name="DateFrom">#REF!</definedName>
    <definedName name="DateTo">#REF!</definedName>
    <definedName name="DeferredBOrdinary">'START HERE'!$G$66</definedName>
    <definedName name="DeferredCOrdinary">'START HERE'!$G$67</definedName>
    <definedName name="Dividend">#REF!</definedName>
    <definedName name="EXCEPTIONAL_LVR">#REF!</definedName>
    <definedName name="EXCEPTIONAL_LVR_17">#REF!</definedName>
    <definedName name="EXCEPTIONAL_LVR_18">#REF!</definedName>
    <definedName name="EXCEPTIONAL_LVR_19">#REF!</definedName>
    <definedName name="EXCEPTIONAL_LVR_1906">#REF!</definedName>
    <definedName name="EXCEPTIONAL_LVR_1911">#REF!</definedName>
    <definedName name="EXCEPTIONAL_LVR_1912">#REF!</definedName>
    <definedName name="EXCEPTIONAL_LVR_2003">#REF!</definedName>
    <definedName name="Loan">#REF!</definedName>
    <definedName name="medical">#REF!</definedName>
    <definedName name="NORMAL_LVR">#REF!</definedName>
    <definedName name="NORMAL_LVR_17">#REF!</definedName>
    <definedName name="NORMAL_LVR_18">#REF!</definedName>
    <definedName name="NORMAL_LVR_1906">#REF!</definedName>
    <definedName name="NORMAL_LVR_1911">#REF!</definedName>
    <definedName name="NORMAL_LVR_1912">#REF!</definedName>
    <definedName name="NORMAL_LVR_2003.">#REF!</definedName>
    <definedName name="other">#REF!</definedName>
    <definedName name="PATax">#REF!</definedName>
    <definedName name="PATaxIncome">#REF!</definedName>
    <definedName name="PreferenceShare">'START HERE'!$G$34</definedName>
    <definedName name="PrevIncome">#REF!</definedName>
    <definedName name="PrevTax">#REF!</definedName>
    <definedName name="_xlnm.Print_Area" localSheetId="3">'C Share Pool'!$B$1:$N$24</definedName>
    <definedName name="_xlnm.Print_Area" localSheetId="0">'START HERE'!$B$3:$H$91</definedName>
    <definedName name="_xlnm.Print_Area" localSheetId="1">'Tax Return 2025-26'!$B$57:$F$68</definedName>
    <definedName name="relocation">#REF!</definedName>
    <definedName name="StudentLoan">#REF!</definedName>
    <definedName name="taxCredit">#REF!</definedName>
    <definedName name="wrn.Corporate." hidden="1">{"Corporate",#N/A,FALSE,"Sorted by database"}</definedName>
    <definedName name="wrn.MOS4." hidden="1">{"MOS4",#N/A,FALSE,"Sorted by database"}</definedName>
    <definedName name="wrn.Offices." hidden="1">{"Offices",#N/A,FALSE,"Sorted by database"}</definedName>
    <definedName name="wrn.Practices." hidden="1">{"Practices",#N/A,FALSE,"Sorted by database"}</definedName>
    <definedName name="wrn.Support." hidden="1">{"Support",#N/A,FALSE,"Sorted by database"}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7" i="12" l="1"/>
  <c r="F7" i="2"/>
  <c r="F7" i="13" s="1"/>
  <c r="A7" i="13" s="1"/>
  <c r="B7" i="13" s="1"/>
  <c r="F8" i="13"/>
  <c r="G7" i="2"/>
  <c r="B13" i="13" l="1"/>
  <c r="D8" i="13"/>
  <c r="B14" i="13"/>
  <c r="D7" i="13"/>
  <c r="S7" i="2" l="1"/>
  <c r="S8" i="2" s="1"/>
  <c r="R7" i="2"/>
  <c r="R8" i="2" s="1"/>
  <c r="K13" i="2"/>
  <c r="L12" i="2"/>
  <c r="K12" i="2"/>
  <c r="E37" i="13"/>
  <c r="C25" i="12"/>
  <c r="E2" i="2"/>
  <c r="E3" i="2"/>
  <c r="E41" i="13"/>
  <c r="J46" i="13" s="1"/>
  <c r="H57" i="12"/>
  <c r="B66" i="12" s="1"/>
  <c r="L5" i="13"/>
  <c r="L9" i="13"/>
  <c r="L10" i="13"/>
  <c r="H51" i="13"/>
  <c r="G51" i="13"/>
  <c r="F51" i="13"/>
  <c r="G48" i="13"/>
  <c r="G49" i="13" s="1"/>
  <c r="F48" i="13"/>
  <c r="H45" i="13"/>
  <c r="H47" i="13"/>
  <c r="E38" i="13"/>
  <c r="E31" i="13"/>
  <c r="E34" i="13"/>
  <c r="D27" i="13"/>
  <c r="F14" i="2"/>
  <c r="E10" i="3"/>
  <c r="F12" i="3"/>
  <c r="E12" i="3"/>
  <c r="F7" i="3"/>
  <c r="E45" i="3" a="1"/>
  <c r="E45" i="3" s="1"/>
  <c r="D3" i="3"/>
  <c r="D2" i="3"/>
  <c r="B67" i="12" l="1"/>
  <c r="E59" i="13"/>
  <c r="D76" i="13"/>
  <c r="B73" i="13"/>
  <c r="H48" i="13"/>
  <c r="C63" i="13" s="1"/>
  <c r="D63" i="13" s="1"/>
  <c r="L11" i="13"/>
  <c r="C61" i="13"/>
  <c r="D61" i="13" s="1"/>
  <c r="C62" i="13"/>
  <c r="D31" i="13"/>
  <c r="B61" i="13" s="1"/>
  <c r="B62" i="13"/>
  <c r="D85" i="13" l="1"/>
  <c r="D78" i="13"/>
  <c r="C85" i="13" s="1"/>
  <c r="D77" i="13"/>
  <c r="E33" i="13"/>
  <c r="E32" i="13" s="1"/>
  <c r="D28" i="13"/>
  <c r="D46" i="13" s="1"/>
  <c r="D29" i="13"/>
  <c r="K78" i="2"/>
  <c r="E46" i="3"/>
  <c r="E44" i="3"/>
  <c r="E43" i="3"/>
  <c r="E42" i="3"/>
  <c r="E41" i="3"/>
  <c r="E40" i="3"/>
  <c r="E39" i="3"/>
  <c r="E37" i="3"/>
  <c r="E36" i="3"/>
  <c r="E33" i="3"/>
  <c r="E29" i="3"/>
  <c r="E27" i="3"/>
  <c r="E25" i="3"/>
  <c r="E24" i="3"/>
  <c r="E20" i="3"/>
  <c r="E17" i="3"/>
  <c r="E16" i="3"/>
  <c r="E13" i="3"/>
  <c r="E9" i="3"/>
  <c r="E8" i="3"/>
  <c r="E11" i="3"/>
  <c r="E14" i="3"/>
  <c r="E15" i="3"/>
  <c r="E18" i="3"/>
  <c r="E19" i="3"/>
  <c r="E21" i="3"/>
  <c r="E22" i="3"/>
  <c r="E23" i="3"/>
  <c r="E26" i="3"/>
  <c r="E28" i="3"/>
  <c r="E30" i="3"/>
  <c r="E31" i="3"/>
  <c r="E32" i="3"/>
  <c r="E34" i="3"/>
  <c r="E35" i="3"/>
  <c r="E38" i="3"/>
  <c r="F27" i="3"/>
  <c r="F28" i="3"/>
  <c r="F29" i="3"/>
  <c r="F30" i="3"/>
  <c r="F31" i="3"/>
  <c r="F32" i="3"/>
  <c r="F33" i="3"/>
  <c r="F34" i="3"/>
  <c r="F35" i="3"/>
  <c r="F36" i="3"/>
  <c r="F37" i="3"/>
  <c r="F38" i="3"/>
  <c r="F39" i="3"/>
  <c r="F40" i="3"/>
  <c r="F41" i="3"/>
  <c r="F42" i="3"/>
  <c r="F43" i="3"/>
  <c r="F44" i="3"/>
  <c r="F45" i="3"/>
  <c r="F46" i="3"/>
  <c r="F13" i="3"/>
  <c r="F14" i="3"/>
  <c r="F15" i="3"/>
  <c r="F16" i="3"/>
  <c r="F17" i="3"/>
  <c r="F18" i="3"/>
  <c r="F19" i="3"/>
  <c r="F20" i="3"/>
  <c r="F21" i="3"/>
  <c r="F22" i="3"/>
  <c r="F23" i="3"/>
  <c r="F24" i="3"/>
  <c r="F25" i="3"/>
  <c r="F26" i="3"/>
  <c r="F8" i="3"/>
  <c r="F9" i="3"/>
  <c r="F10" i="3"/>
  <c r="F11" i="3"/>
  <c r="M32" i="2"/>
  <c r="L8" i="2"/>
  <c r="L79" i="2"/>
  <c r="L78" i="2"/>
  <c r="L77" i="2"/>
  <c r="L73" i="2"/>
  <c r="L72" i="2"/>
  <c r="L71" i="2"/>
  <c r="L70" i="2"/>
  <c r="L68" i="2"/>
  <c r="L67" i="2"/>
  <c r="L64" i="2"/>
  <c r="L63" i="2"/>
  <c r="L62" i="2"/>
  <c r="L61" i="2"/>
  <c r="L58" i="2"/>
  <c r="L57" i="2"/>
  <c r="L55" i="2"/>
  <c r="L54" i="2"/>
  <c r="L53" i="2"/>
  <c r="L52" i="2"/>
  <c r="L51" i="2"/>
  <c r="L50" i="2"/>
  <c r="L47" i="2"/>
  <c r="L46" i="2"/>
  <c r="L45" i="2"/>
  <c r="L38" i="2"/>
  <c r="L39" i="2"/>
  <c r="L40" i="2"/>
  <c r="L41" i="2"/>
  <c r="L42" i="2"/>
  <c r="L43" i="2"/>
  <c r="L37" i="2"/>
  <c r="L32" i="2"/>
  <c r="L24" i="2"/>
  <c r="L25" i="2"/>
  <c r="L26" i="2"/>
  <c r="L27" i="2"/>
  <c r="L28" i="2"/>
  <c r="L29" i="2"/>
  <c r="L23" i="2"/>
  <c r="L19" i="2"/>
  <c r="L14" i="2"/>
  <c r="L15" i="2"/>
  <c r="L16" i="2"/>
  <c r="L17" i="2"/>
  <c r="L13" i="2"/>
  <c r="K79" i="2"/>
  <c r="K77" i="2"/>
  <c r="K73" i="2"/>
  <c r="K72" i="2"/>
  <c r="K71" i="2"/>
  <c r="K70" i="2"/>
  <c r="K68" i="2"/>
  <c r="K67" i="2"/>
  <c r="K64" i="2"/>
  <c r="K63" i="2"/>
  <c r="K62" i="2"/>
  <c r="K61" i="2"/>
  <c r="K58" i="2"/>
  <c r="K57" i="2"/>
  <c r="K46" i="2"/>
  <c r="K55" i="2"/>
  <c r="K54" i="2"/>
  <c r="K53" i="2"/>
  <c r="K52" i="2"/>
  <c r="K51" i="2"/>
  <c r="K50" i="2"/>
  <c r="K47" i="2"/>
  <c r="K45" i="2"/>
  <c r="K43" i="2"/>
  <c r="K38" i="2"/>
  <c r="K39" i="2"/>
  <c r="K40" i="2"/>
  <c r="K41" i="2"/>
  <c r="K42" i="2"/>
  <c r="K37" i="2"/>
  <c r="K32" i="2"/>
  <c r="K26" i="2"/>
  <c r="K27" i="2"/>
  <c r="K28" i="2"/>
  <c r="K29" i="2"/>
  <c r="K24" i="2"/>
  <c r="K25" i="2"/>
  <c r="K14" i="2"/>
  <c r="M14" i="2" s="1"/>
  <c r="K15" i="2"/>
  <c r="K16" i="2"/>
  <c r="K17" i="2"/>
  <c r="E85" i="13" l="1"/>
  <c r="E88" i="13" s="1"/>
  <c r="K23" i="2"/>
  <c r="K19" i="2"/>
  <c r="K8" i="2"/>
  <c r="E7" i="3" l="1"/>
  <c r="G7" i="3" s="1"/>
  <c r="G79" i="2"/>
  <c r="N79" i="2" s="1"/>
  <c r="G78" i="2"/>
  <c r="N78" i="2" s="1"/>
  <c r="G77" i="2"/>
  <c r="N77" i="2" s="1"/>
  <c r="G76" i="2"/>
  <c r="G75" i="2"/>
  <c r="G74" i="2"/>
  <c r="G73" i="2"/>
  <c r="N73" i="2" s="1"/>
  <c r="G72" i="2"/>
  <c r="N72" i="2" s="1"/>
  <c r="G71" i="2"/>
  <c r="N71" i="2" s="1"/>
  <c r="G70" i="2"/>
  <c r="N70" i="2" s="1"/>
  <c r="G69" i="2"/>
  <c r="G68" i="2"/>
  <c r="N68" i="2" s="1"/>
  <c r="G67" i="2"/>
  <c r="G65" i="2"/>
  <c r="G64" i="2"/>
  <c r="N64" i="2" s="1"/>
  <c r="G63" i="2"/>
  <c r="N63" i="2" s="1"/>
  <c r="G62" i="2"/>
  <c r="N62" i="2" s="1"/>
  <c r="G61" i="2"/>
  <c r="N61" i="2" s="1"/>
  <c r="G60" i="2"/>
  <c r="G59" i="2"/>
  <c r="G58" i="2"/>
  <c r="N58" i="2" s="1"/>
  <c r="G57" i="2"/>
  <c r="N57" i="2" s="1"/>
  <c r="G56" i="2"/>
  <c r="G55" i="2"/>
  <c r="N55" i="2" s="1"/>
  <c r="G54" i="2"/>
  <c r="N54" i="2" s="1"/>
  <c r="G53" i="2"/>
  <c r="G52" i="2"/>
  <c r="G51" i="2"/>
  <c r="N51" i="2" s="1"/>
  <c r="G50" i="2"/>
  <c r="G48" i="2"/>
  <c r="G47" i="2"/>
  <c r="N47" i="2" s="1"/>
  <c r="G46" i="2"/>
  <c r="N46" i="2" s="1"/>
  <c r="G45" i="2"/>
  <c r="N45" i="2" s="1"/>
  <c r="G44" i="2"/>
  <c r="G43" i="2"/>
  <c r="N43" i="2" s="1"/>
  <c r="G42" i="2"/>
  <c r="N42" i="2" s="1"/>
  <c r="G41" i="2"/>
  <c r="N41" i="2" s="1"/>
  <c r="G40" i="2"/>
  <c r="N40" i="2" s="1"/>
  <c r="G39" i="2"/>
  <c r="G38" i="2"/>
  <c r="N38" i="2" s="1"/>
  <c r="G37" i="2"/>
  <c r="G26" i="2"/>
  <c r="G27" i="2"/>
  <c r="G28" i="2"/>
  <c r="G29" i="2"/>
  <c r="G30" i="2"/>
  <c r="G31" i="2"/>
  <c r="G32" i="2"/>
  <c r="G33" i="2"/>
  <c r="G34" i="2"/>
  <c r="G35" i="2"/>
  <c r="G24" i="2"/>
  <c r="G25" i="2"/>
  <c r="G23" i="2"/>
  <c r="G11" i="2"/>
  <c r="G12" i="2"/>
  <c r="G13" i="2"/>
  <c r="G14" i="2"/>
  <c r="G15" i="2"/>
  <c r="G16" i="2"/>
  <c r="G17" i="2"/>
  <c r="G18" i="2"/>
  <c r="G19" i="2"/>
  <c r="G20" i="2"/>
  <c r="G21" i="2"/>
  <c r="G10" i="2"/>
  <c r="G8" i="2"/>
  <c r="F68" i="2"/>
  <c r="M68" i="2" s="1"/>
  <c r="F69" i="2"/>
  <c r="F70" i="2"/>
  <c r="M70" i="2" s="1"/>
  <c r="F71" i="2"/>
  <c r="M71" i="2" s="1"/>
  <c r="F72" i="2"/>
  <c r="M72" i="2" s="1"/>
  <c r="F73" i="2"/>
  <c r="M73" i="2" s="1"/>
  <c r="F74" i="2"/>
  <c r="F75" i="2"/>
  <c r="F76" i="2"/>
  <c r="F77" i="2"/>
  <c r="M77" i="2" s="1"/>
  <c r="F78" i="2"/>
  <c r="M78" i="2" s="1"/>
  <c r="F79" i="2"/>
  <c r="M79" i="2" s="1"/>
  <c r="F67" i="2"/>
  <c r="M67" i="2" s="1"/>
  <c r="F56" i="2"/>
  <c r="F57" i="2"/>
  <c r="M57" i="2" s="1"/>
  <c r="F58" i="2"/>
  <c r="M58" i="2" s="1"/>
  <c r="F59" i="2"/>
  <c r="F60" i="2"/>
  <c r="F61" i="2"/>
  <c r="M61" i="2" s="1"/>
  <c r="F62" i="2"/>
  <c r="M62" i="2" s="1"/>
  <c r="F63" i="2"/>
  <c r="M63" i="2" s="1"/>
  <c r="F64" i="2"/>
  <c r="M64" i="2" s="1"/>
  <c r="F65" i="2"/>
  <c r="F55" i="2"/>
  <c r="M55" i="2" s="1"/>
  <c r="F54" i="2"/>
  <c r="M54" i="2" s="1"/>
  <c r="F53" i="2"/>
  <c r="M53" i="2" s="1"/>
  <c r="F52" i="2"/>
  <c r="M52" i="2" s="1"/>
  <c r="F51" i="2"/>
  <c r="M51" i="2" s="1"/>
  <c r="F50" i="2"/>
  <c r="M50" i="2" s="1"/>
  <c r="F38" i="2"/>
  <c r="M38" i="2" s="1"/>
  <c r="F39" i="2"/>
  <c r="M39" i="2" s="1"/>
  <c r="F40" i="2"/>
  <c r="M40" i="2" s="1"/>
  <c r="F41" i="2"/>
  <c r="M41" i="2" s="1"/>
  <c r="F42" i="2"/>
  <c r="M42" i="2" s="1"/>
  <c r="F43" i="2"/>
  <c r="M43" i="2" s="1"/>
  <c r="F44" i="2"/>
  <c r="F45" i="2"/>
  <c r="M45" i="2" s="1"/>
  <c r="F46" i="2"/>
  <c r="M46" i="2" s="1"/>
  <c r="F47" i="2"/>
  <c r="M47" i="2" s="1"/>
  <c r="F48" i="2"/>
  <c r="F37" i="2"/>
  <c r="M37" i="2" s="1"/>
  <c r="F26" i="2"/>
  <c r="F27" i="2"/>
  <c r="F28" i="2"/>
  <c r="F29" i="2"/>
  <c r="F30" i="2"/>
  <c r="F31" i="2"/>
  <c r="F32" i="2"/>
  <c r="F33" i="2"/>
  <c r="F34" i="2"/>
  <c r="F35" i="2"/>
  <c r="F25" i="2"/>
  <c r="F12" i="2"/>
  <c r="M12" i="2" s="1"/>
  <c r="F13" i="2"/>
  <c r="M13" i="2" s="1"/>
  <c r="F15" i="2"/>
  <c r="F16" i="2"/>
  <c r="F17" i="2"/>
  <c r="F18" i="2"/>
  <c r="F19" i="2"/>
  <c r="F20" i="2"/>
  <c r="F21" i="2"/>
  <c r="F24" i="2"/>
  <c r="F23" i="2"/>
  <c r="F11" i="2"/>
  <c r="F10" i="2"/>
  <c r="F8" i="2"/>
  <c r="L12" i="13" s="1"/>
  <c r="N39" i="2" l="1"/>
  <c r="N50" i="2"/>
  <c r="N67" i="2"/>
  <c r="N52" i="2"/>
  <c r="N37" i="2"/>
  <c r="M8" i="2"/>
  <c r="D62" i="13" l="1"/>
  <c r="E52" i="12" l="1"/>
  <c r="E48" i="12"/>
  <c r="E46" i="12"/>
  <c r="B19" i="12"/>
  <c r="B18" i="12"/>
  <c r="O53" i="2" l="1"/>
  <c r="P52" i="2"/>
  <c r="O52" i="2"/>
  <c r="O50" i="2"/>
  <c r="Q52" i="2" l="1"/>
  <c r="N53" i="2"/>
  <c r="P53" i="2" s="1"/>
  <c r="Q53" i="2" s="1"/>
  <c r="P50" i="2"/>
  <c r="B48" i="2"/>
  <c r="Q50" i="2" l="1"/>
  <c r="B44" i="2"/>
  <c r="P40" i="2" l="1"/>
  <c r="O40" i="2"/>
  <c r="P39" i="2"/>
  <c r="O39" i="2"/>
  <c r="O37" i="2"/>
  <c r="B33" i="2"/>
  <c r="P37" i="2" l="1"/>
  <c r="Q39" i="2"/>
  <c r="Q40" i="2"/>
  <c r="M26" i="2"/>
  <c r="N26" i="2"/>
  <c r="Q37" i="2" l="1"/>
  <c r="N32" i="2"/>
  <c r="B15" i="3" l="1"/>
  <c r="B14" i="3"/>
  <c r="B11" i="3"/>
  <c r="B8" i="3"/>
  <c r="B31" i="2"/>
  <c r="P11" i="2"/>
  <c r="B30" i="2" l="1"/>
  <c r="O11" i="2"/>
  <c r="Q11" i="2" s="1"/>
  <c r="B10" i="3"/>
  <c r="B18" i="2"/>
  <c r="B21" i="2"/>
  <c r="B10" i="2"/>
  <c r="M28" i="2"/>
  <c r="O28" i="2" s="1"/>
  <c r="N28" i="2"/>
  <c r="P28" i="2" s="1"/>
  <c r="M29" i="2"/>
  <c r="N29" i="2"/>
  <c r="Q28" i="2" l="1"/>
  <c r="N12" i="2"/>
  <c r="B20" i="2"/>
  <c r="N14" i="2"/>
  <c r="P14" i="2" s="1"/>
  <c r="O14" i="2"/>
  <c r="N13" i="2"/>
  <c r="P13" i="2" s="1"/>
  <c r="O13" i="2"/>
  <c r="N25" i="2"/>
  <c r="P25" i="2" s="1"/>
  <c r="M25" i="2"/>
  <c r="O25" i="2" s="1"/>
  <c r="N24" i="2"/>
  <c r="P24" i="2" s="1"/>
  <c r="M24" i="2"/>
  <c r="O24" i="2" s="1"/>
  <c r="N23" i="2"/>
  <c r="P23" i="2" s="1"/>
  <c r="M23" i="2"/>
  <c r="O23" i="2" s="1"/>
  <c r="Q14" i="2" l="1"/>
  <c r="Q13" i="2"/>
  <c r="Q23" i="2"/>
  <c r="Q25" i="2"/>
  <c r="Q24" i="2"/>
  <c r="N16" i="2"/>
  <c r="M16" i="2"/>
  <c r="N17" i="2"/>
  <c r="M17" i="2"/>
  <c r="N15" i="2"/>
  <c r="M15" i="2"/>
  <c r="N8" i="2"/>
  <c r="O8" i="2"/>
  <c r="P8" i="2"/>
  <c r="I8" i="2"/>
  <c r="I10" i="2" s="1"/>
  <c r="H8" i="2"/>
  <c r="H10" i="2" s="1"/>
  <c r="H11" i="2" s="1"/>
  <c r="H7" i="2"/>
  <c r="I7" i="2"/>
  <c r="M27" i="2"/>
  <c r="N27" i="2"/>
  <c r="I11" i="2" l="1"/>
  <c r="I12" i="2" s="1"/>
  <c r="I13" i="2" s="1"/>
  <c r="I14" i="2" s="1"/>
  <c r="I15" i="2" s="1"/>
  <c r="I16" i="2" s="1"/>
  <c r="I17" i="2" s="1"/>
  <c r="I18" i="2" s="1"/>
  <c r="I19" i="2" s="1"/>
  <c r="I20" i="2" s="1"/>
  <c r="I21" i="2" s="1"/>
  <c r="I23" i="2" s="1"/>
  <c r="I24" i="2" s="1"/>
  <c r="I25" i="2" s="1"/>
  <c r="I26" i="2" s="1"/>
  <c r="I27" i="2" s="1"/>
  <c r="I28" i="2" s="1"/>
  <c r="I29" i="2" s="1"/>
  <c r="I30" i="2" s="1"/>
  <c r="I31" i="2" s="1"/>
  <c r="I32" i="2" s="1"/>
  <c r="I33" i="2" s="1"/>
  <c r="I34" i="2" s="1"/>
  <c r="I35" i="2" s="1"/>
  <c r="I37" i="2" s="1"/>
  <c r="I38" i="2" s="1"/>
  <c r="I39" i="2" s="1"/>
  <c r="I40" i="2" s="1"/>
  <c r="I41" i="2" s="1"/>
  <c r="I42" i="2" s="1"/>
  <c r="I43" i="2" s="1"/>
  <c r="I44" i="2" s="1"/>
  <c r="H12" i="2"/>
  <c r="H13" i="2" s="1"/>
  <c r="H14" i="2" s="1"/>
  <c r="H15" i="2" s="1"/>
  <c r="H7" i="3"/>
  <c r="H8" i="3" s="1"/>
  <c r="H9" i="3" s="1"/>
  <c r="H10" i="3" s="1"/>
  <c r="H11" i="3" s="1"/>
  <c r="I7" i="3"/>
  <c r="J7" i="3" s="1"/>
  <c r="G8" i="3" s="1"/>
  <c r="N19" i="2"/>
  <c r="M19" i="2"/>
  <c r="U8" i="2" l="1"/>
  <c r="P10" i="2" s="1"/>
  <c r="S10" i="2" s="1"/>
  <c r="S11" i="2" s="1"/>
  <c r="I45" i="2"/>
  <c r="I46" i="2" s="1"/>
  <c r="I47" i="2" s="1"/>
  <c r="I48" i="2" s="1"/>
  <c r="I50" i="2" s="1"/>
  <c r="I51" i="2" s="1"/>
  <c r="I52" i="2" s="1"/>
  <c r="V7" i="2"/>
  <c r="T7" i="2"/>
  <c r="O7" i="2" s="1"/>
  <c r="V8" i="2"/>
  <c r="I8" i="3"/>
  <c r="H16" i="2"/>
  <c r="H17" i="2" s="1"/>
  <c r="H18" i="2" s="1"/>
  <c r="H19" i="2" s="1"/>
  <c r="H20" i="2" s="1"/>
  <c r="H21" i="2" s="1"/>
  <c r="H23" i="2" s="1"/>
  <c r="U7" i="2"/>
  <c r="P7" i="2" s="1"/>
  <c r="H12" i="3"/>
  <c r="H13" i="3" s="1"/>
  <c r="H14" i="3" s="1"/>
  <c r="H15" i="3" s="1"/>
  <c r="H16" i="3" s="1"/>
  <c r="H17" i="3" s="1"/>
  <c r="H18" i="3" s="1"/>
  <c r="H19" i="3" s="1"/>
  <c r="H20" i="3" s="1"/>
  <c r="H21" i="3" s="1"/>
  <c r="H22" i="3" s="1"/>
  <c r="H23" i="3" s="1"/>
  <c r="H24" i="3" s="1"/>
  <c r="H25" i="3" s="1"/>
  <c r="I53" i="2" l="1"/>
  <c r="I54" i="2" s="1"/>
  <c r="I55" i="2" s="1"/>
  <c r="I56" i="2" s="1"/>
  <c r="I57" i="2" s="1"/>
  <c r="I58" i="2" s="1"/>
  <c r="I59" i="2" s="1"/>
  <c r="H26" i="3"/>
  <c r="H27" i="3" s="1"/>
  <c r="T8" i="2"/>
  <c r="O10" i="2" s="1"/>
  <c r="R10" i="2" s="1"/>
  <c r="R11" i="2" s="1"/>
  <c r="U11" i="2"/>
  <c r="H24" i="2"/>
  <c r="H25" i="2" s="1"/>
  <c r="H26" i="2" s="1"/>
  <c r="H27" i="2" s="1"/>
  <c r="H28" i="2" s="1"/>
  <c r="H29" i="2" s="1"/>
  <c r="H30" i="2" s="1"/>
  <c r="H31" i="2" s="1"/>
  <c r="H32" i="2" s="1"/>
  <c r="H33" i="2" s="1"/>
  <c r="H34" i="2" s="1"/>
  <c r="H35" i="2" s="1"/>
  <c r="H37" i="2" s="1"/>
  <c r="H38" i="2" s="1"/>
  <c r="H39" i="2" s="1"/>
  <c r="H40" i="2" s="1"/>
  <c r="H41" i="2" s="1"/>
  <c r="H42" i="2" s="1"/>
  <c r="H43" i="2" s="1"/>
  <c r="H44" i="2" s="1"/>
  <c r="V10" i="2" l="1"/>
  <c r="I60" i="2"/>
  <c r="I61" i="2" s="1"/>
  <c r="I62" i="2" s="1"/>
  <c r="I63" i="2" s="1"/>
  <c r="I64" i="2" s="1"/>
  <c r="I65" i="2" s="1"/>
  <c r="I67" i="2" s="1"/>
  <c r="I68" i="2" s="1"/>
  <c r="I69" i="2" s="1"/>
  <c r="H28" i="3"/>
  <c r="H29" i="3" s="1"/>
  <c r="H45" i="2"/>
  <c r="H46" i="2" s="1"/>
  <c r="H47" i="2" s="1"/>
  <c r="H48" i="2" s="1"/>
  <c r="H50" i="2" s="1"/>
  <c r="H51" i="2" s="1"/>
  <c r="H52" i="2" s="1"/>
  <c r="T10" i="2"/>
  <c r="J8" i="3"/>
  <c r="G9" i="3" s="1"/>
  <c r="I9" i="3" l="1"/>
  <c r="J9" i="3" s="1"/>
  <c r="G10" i="3" s="1"/>
  <c r="I70" i="2"/>
  <c r="I71" i="2" s="1"/>
  <c r="I72" i="2" s="1"/>
  <c r="I73" i="2" s="1"/>
  <c r="I74" i="2" s="1"/>
  <c r="I75" i="2" s="1"/>
  <c r="I76" i="2" s="1"/>
  <c r="H30" i="3"/>
  <c r="H31" i="3" s="1"/>
  <c r="H32" i="3" s="1"/>
  <c r="H33" i="3" s="1"/>
  <c r="H53" i="2"/>
  <c r="H54" i="2" s="1"/>
  <c r="H55" i="2" s="1"/>
  <c r="H56" i="2" s="1"/>
  <c r="H57" i="2" s="1"/>
  <c r="H58" i="2" s="1"/>
  <c r="H59" i="2" s="1"/>
  <c r="H60" i="2" s="1"/>
  <c r="H61" i="2" s="1"/>
  <c r="H62" i="2" s="1"/>
  <c r="H63" i="2" s="1"/>
  <c r="H64" i="2" s="1"/>
  <c r="H65" i="2" s="1"/>
  <c r="H67" i="2" s="1"/>
  <c r="H68" i="2" s="1"/>
  <c r="H69" i="2" s="1"/>
  <c r="M4" i="3"/>
  <c r="I10" i="3" l="1"/>
  <c r="H84" i="2"/>
  <c r="I77" i="2"/>
  <c r="I78" i="2" s="1"/>
  <c r="I79" i="2" s="1"/>
  <c r="C19" i="13"/>
  <c r="H70" i="2"/>
  <c r="H71" i="2" s="1"/>
  <c r="H72" i="2" s="1"/>
  <c r="H73" i="2" s="1"/>
  <c r="H74" i="2" s="1"/>
  <c r="H34" i="3"/>
  <c r="H35" i="3" s="1"/>
  <c r="H36" i="3" s="1"/>
  <c r="C46" i="13" l="1"/>
  <c r="E46" i="13" s="1"/>
  <c r="C28" i="13"/>
  <c r="E28" i="13" s="1"/>
  <c r="H75" i="2"/>
  <c r="H76" i="2" s="1"/>
  <c r="H77" i="2" s="1"/>
  <c r="H78" i="2" s="1"/>
  <c r="H79" i="2" s="1"/>
  <c r="H37" i="3"/>
  <c r="D60" i="12" l="1"/>
  <c r="B60" i="12" s="1"/>
  <c r="F46" i="13"/>
  <c r="H83" i="2"/>
  <c r="C18" i="13"/>
  <c r="H38" i="3"/>
  <c r="H39" i="3" s="1"/>
  <c r="H40" i="3" s="1"/>
  <c r="C60" i="12" l="1"/>
  <c r="F49" i="13"/>
  <c r="I46" i="13"/>
  <c r="C45" i="13"/>
  <c r="D59" i="12" s="1"/>
  <c r="B59" i="12" s="1"/>
  <c r="C27" i="13"/>
  <c r="C37" i="13" s="1"/>
  <c r="D37" i="13" s="1"/>
  <c r="D45" i="13" s="1"/>
  <c r="H41" i="3"/>
  <c r="V11" i="2"/>
  <c r="U10" i="2"/>
  <c r="K46" i="13" l="1"/>
  <c r="E60" i="12"/>
  <c r="C59" i="12"/>
  <c r="E45" i="13"/>
  <c r="E27" i="13"/>
  <c r="H42" i="3"/>
  <c r="T11" i="2"/>
  <c r="O12" i="2" s="1"/>
  <c r="R12" i="2" s="1"/>
  <c r="R13" i="2" s="1"/>
  <c r="R14" i="2" s="1"/>
  <c r="P12" i="2"/>
  <c r="S12" i="2" s="1"/>
  <c r="S13" i="2" s="1"/>
  <c r="S14" i="2" s="1"/>
  <c r="H43" i="3" l="1"/>
  <c r="H44" i="3" s="1"/>
  <c r="H45" i="3" s="1"/>
  <c r="H46" i="3" s="1"/>
  <c r="H52" i="3"/>
  <c r="C20" i="13" l="1"/>
  <c r="V12" i="2"/>
  <c r="U12" i="2"/>
  <c r="C47" i="13" l="1"/>
  <c r="D61" i="12" s="1"/>
  <c r="C29" i="13"/>
  <c r="U13" i="2"/>
  <c r="D88" i="13" l="1"/>
  <c r="C61" i="12"/>
  <c r="E35" i="12" s="1"/>
  <c r="B61" i="12"/>
  <c r="D62" i="12"/>
  <c r="E29" i="13"/>
  <c r="E30" i="13" s="1"/>
  <c r="C38" i="13"/>
  <c r="V13" i="2"/>
  <c r="V14" i="2"/>
  <c r="T12" i="2"/>
  <c r="T13" i="2"/>
  <c r="E39" i="13" l="1"/>
  <c r="D38" i="13"/>
  <c r="D47" i="13" s="1"/>
  <c r="E47" i="13" s="1"/>
  <c r="F47" i="13" s="1"/>
  <c r="U14" i="2"/>
  <c r="P15" i="2" s="1"/>
  <c r="T14" i="2"/>
  <c r="O15" i="2" s="1"/>
  <c r="F45" i="13" l="1"/>
  <c r="G47" i="13" s="1"/>
  <c r="I47" i="13"/>
  <c r="E61" i="12" s="1"/>
  <c r="E48" i="13"/>
  <c r="H49" i="13" s="1"/>
  <c r="D64" i="13"/>
  <c r="S15" i="2"/>
  <c r="U15" i="2" s="1"/>
  <c r="P16" i="2" s="1"/>
  <c r="R15" i="2"/>
  <c r="C64" i="13" l="1"/>
  <c r="S16" i="2"/>
  <c r="J10" i="3"/>
  <c r="G11" i="3" s="1"/>
  <c r="G45" i="13" l="1"/>
  <c r="I45" i="13"/>
  <c r="E59" i="12" s="1"/>
  <c r="I11" i="3"/>
  <c r="I48" i="13" l="1"/>
  <c r="J45" i="13"/>
  <c r="J47" i="13"/>
  <c r="K47" i="13" s="1"/>
  <c r="J11" i="3"/>
  <c r="G12" i="3" s="1"/>
  <c r="I12" i="3" s="1"/>
  <c r="J12" i="3" s="1"/>
  <c r="G13" i="3" s="1"/>
  <c r="K45" i="13" l="1"/>
  <c r="J48" i="13"/>
  <c r="E62" i="12"/>
  <c r="C9" i="12" s="1"/>
  <c r="I13" i="3"/>
  <c r="K48" i="13" l="1"/>
  <c r="J13" i="3"/>
  <c r="G14" i="3" s="1"/>
  <c r="I14" i="3" s="1"/>
  <c r="J14" i="3" s="1"/>
  <c r="L48" i="13" l="1"/>
  <c r="G15" i="3"/>
  <c r="I15" i="3" l="1"/>
  <c r="J15" i="3" l="1"/>
  <c r="G16" i="3" s="1"/>
  <c r="I16" i="3" s="1"/>
  <c r="J16" i="3" l="1"/>
  <c r="G17" i="3" s="1"/>
  <c r="I17" i="3" s="1"/>
  <c r="J17" i="3" s="1"/>
  <c r="G18" i="3" l="1"/>
  <c r="I18" i="3" s="1"/>
  <c r="J18" i="3" l="1"/>
  <c r="G19" i="3" s="1"/>
  <c r="I19" i="3" s="1"/>
  <c r="J19" i="3" s="1"/>
  <c r="G20" i="3" s="1"/>
  <c r="I20" i="3" l="1"/>
  <c r="J20" i="3" l="1"/>
  <c r="G21" i="3" s="1"/>
  <c r="I21" i="3" s="1"/>
  <c r="J21" i="3" l="1"/>
  <c r="G22" i="3" s="1"/>
  <c r="I22" i="3" s="1"/>
  <c r="J22" i="3" s="1"/>
  <c r="G23" i="3" l="1"/>
  <c r="I23" i="3" s="1"/>
  <c r="J23" i="3" s="1"/>
  <c r="G24" i="3" l="1"/>
  <c r="I24" i="3" s="1"/>
  <c r="J24" i="3" s="1"/>
  <c r="G25" i="3" l="1"/>
  <c r="I25" i="3" s="1"/>
  <c r="J25" i="3" s="1"/>
  <c r="G26" i="3" l="1"/>
  <c r="I26" i="3" s="1"/>
  <c r="J26" i="3" s="1"/>
  <c r="G27" i="3" l="1"/>
  <c r="I27" i="3" s="1"/>
  <c r="J27" i="3" l="1"/>
  <c r="G28" i="3" s="1"/>
  <c r="I28" i="3" s="1"/>
  <c r="J28" i="3" l="1"/>
  <c r="G29" i="3" s="1"/>
  <c r="I29" i="3" s="1"/>
  <c r="J29" i="3" l="1"/>
  <c r="G30" i="3" s="1"/>
  <c r="I30" i="3" s="1"/>
  <c r="J30" i="3" l="1"/>
  <c r="G31" i="3" s="1"/>
  <c r="I31" i="3" s="1"/>
  <c r="J31" i="3" l="1"/>
  <c r="G32" i="3" s="1"/>
  <c r="I32" i="3" s="1"/>
  <c r="J32" i="3" l="1"/>
  <c r="G33" i="3" s="1"/>
  <c r="I33" i="3" s="1"/>
  <c r="T15" i="2"/>
  <c r="O16" i="2" s="1"/>
  <c r="V15" i="2"/>
  <c r="J33" i="3" l="1"/>
  <c r="G34" i="3" s="1"/>
  <c r="I34" i="3" s="1"/>
  <c r="Q16" i="2"/>
  <c r="J34" i="3" l="1"/>
  <c r="G35" i="3" s="1"/>
  <c r="I35" i="3" s="1"/>
  <c r="R16" i="2"/>
  <c r="J35" i="3" l="1"/>
  <c r="G36" i="3" s="1"/>
  <c r="I36" i="3" s="1"/>
  <c r="T16" i="2"/>
  <c r="O17" i="2" s="1"/>
  <c r="R17" i="2" s="1"/>
  <c r="U16" i="2"/>
  <c r="P17" i="2" s="1"/>
  <c r="S17" i="2" s="1"/>
  <c r="V16" i="2"/>
  <c r="J36" i="3" l="1"/>
  <c r="G37" i="3" s="1"/>
  <c r="I37" i="3" s="1"/>
  <c r="T17" i="2"/>
  <c r="O18" i="2" s="1"/>
  <c r="V17" i="2"/>
  <c r="J37" i="3" l="1"/>
  <c r="G38" i="3" s="1"/>
  <c r="I38" i="3" s="1"/>
  <c r="R18" i="2"/>
  <c r="U17" i="2"/>
  <c r="P18" i="2" s="1"/>
  <c r="S18" i="2" s="1"/>
  <c r="U18" i="2" s="1"/>
  <c r="P19" i="2" s="1"/>
  <c r="J38" i="3" l="1"/>
  <c r="G39" i="3" s="1"/>
  <c r="I39" i="3" s="1"/>
  <c r="V18" i="2"/>
  <c r="T18" i="2"/>
  <c r="O19" i="2" s="1"/>
  <c r="R19" i="2" s="1"/>
  <c r="S19" i="2"/>
  <c r="J39" i="3" l="1"/>
  <c r="G40" i="3" s="1"/>
  <c r="I40" i="3" s="1"/>
  <c r="T19" i="2"/>
  <c r="O20" i="2" s="1"/>
  <c r="V19" i="2"/>
  <c r="U19" i="2"/>
  <c r="P20" i="2" s="1"/>
  <c r="S20" i="2" s="1"/>
  <c r="J40" i="3" l="1"/>
  <c r="G41" i="3" s="1"/>
  <c r="I41" i="3" s="1"/>
  <c r="R20" i="2"/>
  <c r="V20" i="2" s="1"/>
  <c r="U20" i="2"/>
  <c r="P21" i="2" s="1"/>
  <c r="S21" i="2" s="1"/>
  <c r="S23" i="2" s="1"/>
  <c r="S24" i="2" s="1"/>
  <c r="S25" i="2" s="1"/>
  <c r="J41" i="3" l="1"/>
  <c r="G42" i="3" s="1"/>
  <c r="I42" i="3" s="1"/>
  <c r="I52" i="3" s="1"/>
  <c r="T20" i="2"/>
  <c r="O21" i="2" s="1"/>
  <c r="U21" i="2"/>
  <c r="J42" i="3" l="1"/>
  <c r="G43" i="3" s="1"/>
  <c r="D20" i="13"/>
  <c r="E54" i="13" s="1"/>
  <c r="I43" i="3"/>
  <c r="R21" i="2"/>
  <c r="U23" i="2"/>
  <c r="F54" i="13" l="1"/>
  <c r="V21" i="2"/>
  <c r="R23" i="2"/>
  <c r="R24" i="2" s="1"/>
  <c r="R25" i="2" s="1"/>
  <c r="J43" i="3"/>
  <c r="G44" i="3" s="1"/>
  <c r="I44" i="3" s="1"/>
  <c r="J44" i="3" s="1"/>
  <c r="G45" i="3" s="1"/>
  <c r="T21" i="2"/>
  <c r="U24" i="2"/>
  <c r="G54" i="13" l="1"/>
  <c r="V23" i="2"/>
  <c r="I45" i="3"/>
  <c r="J45" i="3" s="1"/>
  <c r="T23" i="2"/>
  <c r="V25" i="2"/>
  <c r="U25" i="2"/>
  <c r="P26" i="2" s="1"/>
  <c r="S26" i="2" s="1"/>
  <c r="H54" i="13" l="1"/>
  <c r="I54" i="13" s="1"/>
  <c r="J54" i="13"/>
  <c r="G46" i="3"/>
  <c r="I46" i="3" s="1"/>
  <c r="J46" i="3" s="1"/>
  <c r="V24" i="2"/>
  <c r="T24" i="2"/>
  <c r="T25" i="2"/>
  <c r="O26" i="2" s="1"/>
  <c r="R26" i="2" s="1"/>
  <c r="U26" i="2"/>
  <c r="P27" i="2" s="1"/>
  <c r="S27" i="2" s="1"/>
  <c r="S28" i="2" s="1"/>
  <c r="H61" i="12" l="1"/>
  <c r="F61" i="12" s="1"/>
  <c r="K54" i="13"/>
  <c r="T26" i="2"/>
  <c r="O27" i="2" s="1"/>
  <c r="R27" i="2" s="1"/>
  <c r="R28" i="2" s="1"/>
  <c r="V26" i="2"/>
  <c r="V27" i="2" l="1"/>
  <c r="U27" i="2"/>
  <c r="V28" i="2" l="1"/>
  <c r="T27" i="2"/>
  <c r="U28" i="2"/>
  <c r="P29" i="2" s="1"/>
  <c r="S29" i="2" s="1"/>
  <c r="T28" i="2" l="1"/>
  <c r="O29" i="2" s="1"/>
  <c r="R29" i="2" s="1"/>
  <c r="T29" i="2" l="1"/>
  <c r="V29" i="2"/>
  <c r="U29" i="2"/>
  <c r="P30" i="2" l="1"/>
  <c r="S30" i="2" s="1"/>
  <c r="O30" i="2"/>
  <c r="R30" i="2" s="1"/>
  <c r="T30" i="2" l="1"/>
  <c r="O31" i="2" s="1"/>
  <c r="V30" i="2"/>
  <c r="R31" i="2" l="1"/>
  <c r="T31" i="2" s="1"/>
  <c r="O32" i="2" s="1"/>
  <c r="R32" i="2" s="1"/>
  <c r="T32" i="2" s="1"/>
  <c r="O33" i="2" s="1"/>
  <c r="U30" i="2"/>
  <c r="P31" i="2" s="1"/>
  <c r="S31" i="2" s="1"/>
  <c r="V31" i="2" l="1"/>
  <c r="U31" i="2"/>
  <c r="P32" i="2" s="1"/>
  <c r="S32" i="2" s="1"/>
  <c r="R33" i="2"/>
  <c r="T33" i="2" s="1"/>
  <c r="O34" i="2" s="1"/>
  <c r="R34" i="2" l="1"/>
  <c r="T34" i="2" s="1"/>
  <c r="O35" i="2" s="1"/>
  <c r="R35" i="2" s="1"/>
  <c r="R37" i="2" s="1"/>
  <c r="V32" i="2"/>
  <c r="U32" i="2"/>
  <c r="P33" i="2" s="1"/>
  <c r="S33" i="2" s="1"/>
  <c r="T35" i="2" l="1"/>
  <c r="T37" i="2" l="1"/>
  <c r="O38" i="2" s="1"/>
  <c r="R38" i="2" s="1"/>
  <c r="R39" i="2" s="1"/>
  <c r="R40" i="2" s="1"/>
  <c r="U33" i="2"/>
  <c r="P34" i="2" s="1"/>
  <c r="S34" i="2" s="1"/>
  <c r="V33" i="2"/>
  <c r="T38" i="2" l="1"/>
  <c r="T40" i="2" l="1"/>
  <c r="O41" i="2" s="1"/>
  <c r="R41" i="2" s="1"/>
  <c r="T41" i="2" s="1"/>
  <c r="O42" i="2" s="1"/>
  <c r="R42" i="2" s="1"/>
  <c r="T39" i="2"/>
  <c r="U34" i="2"/>
  <c r="P35" i="2" s="1"/>
  <c r="V34" i="2"/>
  <c r="S35" i="2" l="1"/>
  <c r="S37" i="2" s="1"/>
  <c r="T42" i="2"/>
  <c r="O43" i="2" s="1"/>
  <c r="R43" i="2" s="1"/>
  <c r="V35" i="2" l="1"/>
  <c r="U35" i="2"/>
  <c r="U37" i="2"/>
  <c r="P38" i="2" s="1"/>
  <c r="V37" i="2"/>
  <c r="S38" i="2" l="1"/>
  <c r="S39" i="2" s="1"/>
  <c r="S40" i="2" s="1"/>
  <c r="T43" i="2"/>
  <c r="O44" i="2" s="1"/>
  <c r="R44" i="2" s="1"/>
  <c r="V38" i="2" l="1"/>
  <c r="U38" i="2"/>
  <c r="T44" i="2"/>
  <c r="O45" i="2" s="1"/>
  <c r="R45" i="2" s="1"/>
  <c r="V39" i="2"/>
  <c r="U39" i="2"/>
  <c r="U40" i="2" l="1"/>
  <c r="P41" i="2" s="1"/>
  <c r="S41" i="2" s="1"/>
  <c r="V40" i="2"/>
  <c r="T45" i="2" l="1"/>
  <c r="O46" i="2" s="1"/>
  <c r="R46" i="2" s="1"/>
  <c r="U41" i="2" l="1"/>
  <c r="P42" i="2" s="1"/>
  <c r="S42" i="2" s="1"/>
  <c r="V41" i="2"/>
  <c r="T46" i="2" l="1"/>
  <c r="O47" i="2" s="1"/>
  <c r="R47" i="2" s="1"/>
  <c r="V42" i="2" l="1"/>
  <c r="U42" i="2"/>
  <c r="P43" i="2" s="1"/>
  <c r="S43" i="2" s="1"/>
  <c r="Q43" i="2" l="1"/>
  <c r="V43" i="2"/>
  <c r="U43" i="2"/>
  <c r="P44" i="2" s="1"/>
  <c r="S44" i="2" s="1"/>
  <c r="T47" i="2"/>
  <c r="O48" i="2" s="1"/>
  <c r="R48" i="2" s="1"/>
  <c r="R50" i="2" s="1"/>
  <c r="U44" i="2" l="1"/>
  <c r="P45" i="2" s="1"/>
  <c r="S45" i="2" s="1"/>
  <c r="V44" i="2"/>
  <c r="T48" i="2"/>
  <c r="T50" i="2"/>
  <c r="O51" i="2" s="1"/>
  <c r="R51" i="2" s="1"/>
  <c r="R52" i="2" s="1"/>
  <c r="R53" i="2" s="1"/>
  <c r="V45" i="2" l="1"/>
  <c r="U45" i="2"/>
  <c r="P46" i="2" s="1"/>
  <c r="S46" i="2" s="1"/>
  <c r="T51" i="2"/>
  <c r="V46" i="2" l="1"/>
  <c r="U46" i="2"/>
  <c r="P47" i="2" s="1"/>
  <c r="S47" i="2" s="1"/>
  <c r="T52" i="2"/>
  <c r="U47" i="2" l="1"/>
  <c r="P48" i="2" s="1"/>
  <c r="V47" i="2"/>
  <c r="T53" i="2"/>
  <c r="O54" i="2" s="1"/>
  <c r="R54" i="2" s="1"/>
  <c r="S48" i="2" l="1"/>
  <c r="S50" i="2" s="1"/>
  <c r="T54" i="2"/>
  <c r="O55" i="2" s="1"/>
  <c r="R55" i="2" s="1"/>
  <c r="V48" i="2" l="1"/>
  <c r="U48" i="2"/>
  <c r="V50" i="2"/>
  <c r="U50" i="2"/>
  <c r="P51" i="2" s="1"/>
  <c r="S51" i="2" l="1"/>
  <c r="S52" i="2" s="1"/>
  <c r="S53" i="2" s="1"/>
  <c r="T55" i="2"/>
  <c r="O56" i="2" s="1"/>
  <c r="R56" i="2" s="1"/>
  <c r="U51" i="2" l="1"/>
  <c r="V51" i="2"/>
  <c r="T56" i="2"/>
  <c r="O57" i="2" s="1"/>
  <c r="R57" i="2" s="1"/>
  <c r="U52" i="2" l="1"/>
  <c r="V52" i="2"/>
  <c r="U53" i="2"/>
  <c r="P54" i="2" s="1"/>
  <c r="S54" i="2" s="1"/>
  <c r="V53" i="2"/>
  <c r="T57" i="2" l="1"/>
  <c r="O58" i="2" s="1"/>
  <c r="R58" i="2" s="1"/>
  <c r="V54" i="2" l="1"/>
  <c r="U54" i="2"/>
  <c r="P55" i="2" s="1"/>
  <c r="S55" i="2" s="1"/>
  <c r="V55" i="2" l="1"/>
  <c r="T58" i="2"/>
  <c r="O59" i="2" s="1"/>
  <c r="R59" i="2" s="1"/>
  <c r="U55" i="2" l="1"/>
  <c r="P56" i="2" s="1"/>
  <c r="S56" i="2" s="1"/>
  <c r="T59" i="2"/>
  <c r="O60" i="2" s="1"/>
  <c r="R60" i="2" s="1"/>
  <c r="U56" i="2" l="1"/>
  <c r="P57" i="2" s="1"/>
  <c r="S57" i="2" s="1"/>
  <c r="V56" i="2"/>
  <c r="T60" i="2" l="1"/>
  <c r="O61" i="2" s="1"/>
  <c r="R61" i="2" s="1"/>
  <c r="U57" i="2" l="1"/>
  <c r="P58" i="2" s="1"/>
  <c r="S58" i="2" s="1"/>
  <c r="V57" i="2"/>
  <c r="T61" i="2" l="1"/>
  <c r="O62" i="2" s="1"/>
  <c r="R62" i="2" s="1"/>
  <c r="U58" i="2" l="1"/>
  <c r="P59" i="2" s="1"/>
  <c r="S59" i="2" s="1"/>
  <c r="V58" i="2"/>
  <c r="T62" i="2"/>
  <c r="O63" i="2" s="1"/>
  <c r="R63" i="2" s="1"/>
  <c r="T63" i="2" l="1"/>
  <c r="O64" i="2" s="1"/>
  <c r="R64" i="2" s="1"/>
  <c r="U59" i="2" l="1"/>
  <c r="V59" i="2"/>
  <c r="T64" i="2"/>
  <c r="O65" i="2" s="1"/>
  <c r="R65" i="2" s="1"/>
  <c r="P60" i="2" l="1"/>
  <c r="S60" i="2" s="1"/>
  <c r="T65" i="2"/>
  <c r="O67" i="2" s="1"/>
  <c r="R67" i="2" s="1"/>
  <c r="V60" i="2" l="1"/>
  <c r="U60" i="2"/>
  <c r="P61" i="2" s="1"/>
  <c r="S61" i="2" s="1"/>
  <c r="T67" i="2"/>
  <c r="O68" i="2" s="1"/>
  <c r="R68" i="2" s="1"/>
  <c r="V61" i="2" l="1"/>
  <c r="U61" i="2"/>
  <c r="P62" i="2" s="1"/>
  <c r="S62" i="2" s="1"/>
  <c r="U62" i="2" l="1"/>
  <c r="P63" i="2" s="1"/>
  <c r="S63" i="2" s="1"/>
  <c r="V62" i="2"/>
  <c r="T68" i="2"/>
  <c r="O69" i="2" s="1"/>
  <c r="R69" i="2" s="1"/>
  <c r="T69" i="2" l="1"/>
  <c r="O70" i="2" s="1"/>
  <c r="R70" i="2" s="1"/>
  <c r="T70" i="2" l="1"/>
  <c r="O71" i="2" s="1"/>
  <c r="R71" i="2" s="1"/>
  <c r="V63" i="2"/>
  <c r="U63" i="2"/>
  <c r="P64" i="2" s="1"/>
  <c r="S64" i="2" s="1"/>
  <c r="T71" i="2" l="1"/>
  <c r="O72" i="2" s="1"/>
  <c r="R72" i="2" s="1"/>
  <c r="T72" i="2" l="1"/>
  <c r="O73" i="2" s="1"/>
  <c r="R73" i="2" s="1"/>
  <c r="V64" i="2"/>
  <c r="U64" i="2"/>
  <c r="P65" i="2" s="1"/>
  <c r="S65" i="2" s="1"/>
  <c r="T73" i="2" l="1"/>
  <c r="O74" i="2" s="1"/>
  <c r="R74" i="2" s="1"/>
  <c r="T74" i="2" l="1"/>
  <c r="O75" i="2" s="1"/>
  <c r="R75" i="2" s="1"/>
  <c r="U65" i="2"/>
  <c r="P67" i="2" s="1"/>
  <c r="S67" i="2" s="1"/>
  <c r="V65" i="2"/>
  <c r="T75" i="2" l="1"/>
  <c r="O76" i="2" s="1"/>
  <c r="R76" i="2" s="1"/>
  <c r="I83" i="2" s="1"/>
  <c r="V67" i="2" l="1"/>
  <c r="U67" i="2"/>
  <c r="P68" i="2" s="1"/>
  <c r="S68" i="2" s="1"/>
  <c r="T76" i="2" l="1"/>
  <c r="O77" i="2" s="1"/>
  <c r="R77" i="2" s="1"/>
  <c r="T77" i="2" s="1"/>
  <c r="D18" i="13"/>
  <c r="U68" i="2"/>
  <c r="P69" i="2" s="1"/>
  <c r="S69" i="2" s="1"/>
  <c r="E52" i="13" l="1"/>
  <c r="O78" i="2"/>
  <c r="R78" i="2" s="1"/>
  <c r="T78" i="2" s="1"/>
  <c r="O79" i="2" s="1"/>
  <c r="R79" i="2" s="1"/>
  <c r="V68" i="2"/>
  <c r="U69" i="2"/>
  <c r="P70" i="2" s="1"/>
  <c r="S70" i="2" s="1"/>
  <c r="V69" i="2"/>
  <c r="F52" i="13" l="1"/>
  <c r="G52" i="13" s="1"/>
  <c r="J52" i="13" s="1"/>
  <c r="T79" i="2"/>
  <c r="U70" i="2"/>
  <c r="P71" i="2" s="1"/>
  <c r="S71" i="2" s="1"/>
  <c r="H52" i="13" l="1"/>
  <c r="I52" i="13" s="1"/>
  <c r="V70" i="2"/>
  <c r="H59" i="12" l="1"/>
  <c r="F59" i="12" s="1"/>
  <c r="K52" i="13"/>
  <c r="U71" i="2"/>
  <c r="P72" i="2" s="1"/>
  <c r="S72" i="2" s="1"/>
  <c r="V71" i="2"/>
  <c r="U72" i="2" l="1"/>
  <c r="P73" i="2" s="1"/>
  <c r="S73" i="2" s="1"/>
  <c r="V72" i="2" l="1"/>
  <c r="U73" i="2"/>
  <c r="P74" i="2" s="1"/>
  <c r="S74" i="2" s="1"/>
  <c r="V73" i="2"/>
  <c r="U74" i="2" l="1"/>
  <c r="P75" i="2" s="1"/>
  <c r="S75" i="2" s="1"/>
  <c r="V74" i="2"/>
  <c r="U75" i="2" l="1"/>
  <c r="P76" i="2" s="1"/>
  <c r="S76" i="2" s="1"/>
  <c r="I84" i="2" s="1"/>
  <c r="I85" i="2" s="1"/>
  <c r="V75" i="2"/>
  <c r="V76" i="2" l="1"/>
  <c r="U76" i="2" l="1"/>
  <c r="P77" i="2" s="1"/>
  <c r="S77" i="2" s="1"/>
  <c r="D19" i="13"/>
  <c r="D21" i="13" l="1"/>
  <c r="E55" i="13" s="1"/>
  <c r="E53" i="13"/>
  <c r="U77" i="2"/>
  <c r="P78" i="2" s="1"/>
  <c r="S78" i="2" s="1"/>
  <c r="U78" i="2" s="1"/>
  <c r="P79" i="2" s="1"/>
  <c r="V77" i="2"/>
  <c r="E36" i="12"/>
  <c r="C11" i="12"/>
  <c r="F53" i="13" l="1"/>
  <c r="G53" i="13" s="1"/>
  <c r="J53" i="13" s="1"/>
  <c r="J55" i="13" s="1"/>
  <c r="V78" i="2"/>
  <c r="S79" i="2"/>
  <c r="V79" i="2" s="1"/>
  <c r="B14" i="12"/>
  <c r="B13" i="12"/>
  <c r="E77" i="13" l="1"/>
  <c r="J56" i="13"/>
  <c r="F55" i="13"/>
  <c r="E61" i="13" s="1"/>
  <c r="G61" i="13" s="1"/>
  <c r="H53" i="13"/>
  <c r="I53" i="13" s="1"/>
  <c r="G55" i="13"/>
  <c r="U79" i="2"/>
  <c r="K53" i="13" l="1"/>
  <c r="H60" i="12"/>
  <c r="I55" i="13"/>
  <c r="G77" i="13"/>
  <c r="E62" i="13"/>
  <c r="G62" i="13" s="1"/>
  <c r="H55" i="13"/>
  <c r="E63" i="13" s="1"/>
  <c r="K55" i="13" l="1"/>
  <c r="I56" i="13"/>
  <c r="F85" i="13"/>
  <c r="F88" i="13" s="1"/>
  <c r="G79" i="13"/>
  <c r="F60" i="12"/>
  <c r="F62" i="12" s="1"/>
  <c r="E38" i="12" s="1"/>
  <c r="E37" i="12" s="1"/>
  <c r="H62" i="12"/>
  <c r="G63" i="13"/>
  <c r="G64" i="13" s="1"/>
  <c r="G66" i="13" s="1"/>
  <c r="G67" i="13" s="1"/>
  <c r="L55" i="13" l="1"/>
  <c r="K56" i="13"/>
  <c r="C18" i="12"/>
  <c r="C20" i="12" s="1"/>
  <c r="C24" i="12" s="1"/>
  <c r="E64" i="13"/>
  <c r="E27" i="12" l="1"/>
  <c r="B26" i="12"/>
  <c r="B27" i="12"/>
  <c r="C27" i="1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<sst xmlns="http://schemas.openxmlformats.org/spreadsheetml/2006/main" count="393" uniqueCount="225">
  <si>
    <t># shares</t>
  </si>
  <si>
    <t>Total base cost</t>
  </si>
  <si>
    <t>C Ordinary</t>
  </si>
  <si>
    <t>Totals</t>
  </si>
  <si>
    <t># share sold</t>
  </si>
  <si>
    <t>B Ordinary</t>
  </si>
  <si>
    <t>Preference</t>
  </si>
  <si>
    <t>A</t>
  </si>
  <si>
    <t>20% Delivered in Jacobs Shares at closing</t>
  </si>
  <si>
    <t>Number of Jacobs shares received</t>
  </si>
  <si>
    <t># shares sold</t>
  </si>
  <si>
    <t>Fixed price</t>
  </si>
  <si>
    <t>Deferred value</t>
  </si>
  <si>
    <t>Total deferred value</t>
  </si>
  <si>
    <t>B</t>
  </si>
  <si>
    <t>UK 2025/26 Disposal Proceeds and chargeable gain</t>
  </si>
  <si>
    <t>2025/26 Gain</t>
  </si>
  <si>
    <t>Total value of assets disposed of:</t>
  </si>
  <si>
    <t>Chargable Gains</t>
  </si>
  <si>
    <t>Annual exempt amount</t>
  </si>
  <si>
    <t>Taxable gain</t>
  </si>
  <si>
    <t>Standard of CGT rate is 24%</t>
  </si>
  <si>
    <t>Tax due by 31 January 2027</t>
  </si>
  <si>
    <t>Sale value</t>
  </si>
  <si>
    <t>Future sale of your Jacobs shares</t>
  </si>
  <si>
    <r>
      <t xml:space="preserve">Illustrative tax on future sale </t>
    </r>
    <r>
      <rPr>
        <sz val="9"/>
        <color theme="1"/>
        <rFont val="Calibri"/>
        <family val="2"/>
        <scheme val="minor"/>
      </rPr>
      <t>(tax point in tax year of sale)</t>
    </r>
  </si>
  <si>
    <t>Disposal Proceeds</t>
  </si>
  <si>
    <t>Sales of shares in PA Consulting Group Limited</t>
  </si>
  <si>
    <t>Any non-PA chargeable sales you made</t>
  </si>
  <si>
    <t>Chargeable gains or losses</t>
  </si>
  <si>
    <t>Your total chargeable gains for the year:</t>
  </si>
  <si>
    <t>Less: losses from this year:</t>
  </si>
  <si>
    <t>Less: brought forward losses used this year:</t>
  </si>
  <si>
    <t>Less: annual exempt amount</t>
  </si>
  <si>
    <t>Taxable gain:</t>
  </si>
  <si>
    <r>
      <t xml:space="preserve">Your PA Share Units Pool  </t>
    </r>
    <r>
      <rPr>
        <sz val="12"/>
        <color theme="0"/>
        <rFont val="Calibri"/>
        <family val="2"/>
        <scheme val="minor"/>
      </rPr>
      <t>(trading is always in 1 B Ordinary and 5.6 [rounded] Preference shares)</t>
    </r>
  </si>
  <si>
    <t>Holder name:</t>
  </si>
  <si>
    <t>Holder reference:</t>
  </si>
  <si>
    <t>Transaction</t>
  </si>
  <si>
    <t>Transaction ID B Ordinary</t>
  </si>
  <si>
    <t>Transaction ID Preference shares</t>
  </si>
  <si>
    <t>Date</t>
  </si>
  <si>
    <t>Share Unit comprised of:</t>
  </si>
  <si>
    <t>Cumulative shares held</t>
  </si>
  <si>
    <t>Transaction value per share</t>
  </si>
  <si>
    <t xml:space="preserve">Total Transaction value </t>
  </si>
  <si>
    <t>Aggregate base cost per transaction</t>
  </si>
  <si>
    <t>Stamp duty purchase cost</t>
  </si>
  <si>
    <t>Cumulative base cost</t>
  </si>
  <si>
    <t>Post-transaction cumulative average base cost per share</t>
  </si>
  <si>
    <t xml:space="preserve">Base Cost </t>
  </si>
  <si>
    <t>Preference shares</t>
  </si>
  <si>
    <t>Market price per Unit</t>
  </si>
  <si>
    <t xml:space="preserve">Preference </t>
  </si>
  <si>
    <t xml:space="preserve">B Ordinary </t>
  </si>
  <si>
    <t>per Share Unit</t>
  </si>
  <si>
    <t>Exchange from Carlyle period PA shares</t>
  </si>
  <si>
    <t>Carlyle period shareholders received a mix of cash (taxable in 20/21 year) and new B Ordinary and Preference shares on 2 March.  Tax is deferred on new shares until sale.</t>
  </si>
  <si>
    <t>Cash purchase ('Part 3 election')</t>
  </si>
  <si>
    <t>If you took the 'Part 3 election' you received 100% cash for your legacy Carlyle period shares and invested part of this cash into new B and Ordinary shares.  Your base cost is then £0.05 per B Ordinary and £1.00 per Preference share.</t>
  </si>
  <si>
    <t>2021/22 Tax year</t>
  </si>
  <si>
    <t>Gifts of shares to spouses take with them the average base cost of the shares held by the Transferor.  Spouse should include the highlighted bold aggregate base cost in their own CGT calculation</t>
  </si>
  <si>
    <t>Earnout consideration</t>
  </si>
  <si>
    <t>Material shareholders sale</t>
  </si>
  <si>
    <t>Market Purchase</t>
  </si>
  <si>
    <t>Share Award</t>
  </si>
  <si>
    <t>Market Sale</t>
  </si>
  <si>
    <t>Purchase</t>
  </si>
  <si>
    <t>Sale</t>
  </si>
  <si>
    <t>2022/23 Tax year</t>
  </si>
  <si>
    <t>Earnout</t>
  </si>
  <si>
    <t>Transfer</t>
  </si>
  <si>
    <t>2023/24 Tax year</t>
  </si>
  <si>
    <t>2024/25 Tax year</t>
  </si>
  <si>
    <t>Gifts of shares take with them the average base cost of the shares held by the Transferor.  The transferee should include the highlighted bold aggregate base cost in their own CGT calculation</t>
  </si>
  <si>
    <t>2025/26 Tax year</t>
  </si>
  <si>
    <t>Units comprised of:</t>
  </si>
  <si>
    <t>Number</t>
  </si>
  <si>
    <t>Aggregate base cost</t>
  </si>
  <si>
    <t>incl stamp duty</t>
  </si>
  <si>
    <t>Stamp Duty</t>
  </si>
  <si>
    <t xml:space="preserve">Stamp Duty is calculated at 0.5% of the combined purchase value for the B Ordinary and Preference shares. 
</t>
  </si>
  <si>
    <t>The Stamp Duty cost has then been apportioned between the B Ordinary and Preference Shares.</t>
  </si>
  <si>
    <t>Your C Share Pool</t>
  </si>
  <si>
    <t>Transaction ID C Ordinary</t>
  </si>
  <si>
    <t>C Shares bought or sold</t>
  </si>
  <si>
    <t>Purchase/ Sale Price per share  GBP</t>
  </si>
  <si>
    <t>Aggregate Purchase/ Sale Price   GBP</t>
  </si>
  <si>
    <t>Cumulative C Shares</t>
  </si>
  <si>
    <t>Cumulative Total cost GBP</t>
  </si>
  <si>
    <t>Average Cost per C Share  GBP</t>
  </si>
  <si>
    <t>Capital Gains</t>
  </si>
  <si>
    <t>Total sale value</t>
  </si>
  <si>
    <t>Total Gains</t>
  </si>
  <si>
    <t>Year in which gains are reportable</t>
  </si>
  <si>
    <t>Transaction ID C Ordinary 22</t>
  </si>
  <si>
    <t>Transaction ID C Ordinary 23</t>
  </si>
  <si>
    <t>Transaction ID C Ordinary 24</t>
  </si>
  <si>
    <t>Share</t>
  </si>
  <si>
    <t>2025-26 Tax Return - Capital Gains Tax reporting</t>
  </si>
  <si>
    <r>
      <t xml:space="preserve">Working section to determine if you need to complete the CGT pages </t>
    </r>
    <r>
      <rPr>
        <sz val="12"/>
        <rFont val="Calibri"/>
        <family val="2"/>
        <scheme val="minor"/>
      </rPr>
      <t>(Not to be submitted with your return)</t>
    </r>
  </si>
  <si>
    <t xml:space="preserve">We recommend that you use the notes below if you are required to report Capital Gains on your tax return. </t>
  </si>
  <si>
    <t>When reporting Capital Gains on your online tax return HMRC will give you the option of using their worksheet which isn't great for reporting private company shares such as PA shares.   A fully prepared worksheet is instead provided below for you.</t>
  </si>
  <si>
    <t>Information to be reported in the Unlisted shares and securities section</t>
  </si>
  <si>
    <t>Number of disposals:</t>
  </si>
  <si>
    <t>Disposal Proceeds:</t>
  </si>
  <si>
    <t>Allowable costs (including purchase price):</t>
  </si>
  <si>
    <t>Gain in the year before losses:</t>
  </si>
  <si>
    <t>If you are making an claim or election, put "X" in box:</t>
  </si>
  <si>
    <t>Leave blank</t>
  </si>
  <si>
    <t>If your comp. includes estimates/ valuation, put "X" in box:</t>
  </si>
  <si>
    <t>Information to be reported in the Summary of your Computations section</t>
  </si>
  <si>
    <t>Total gains:</t>
  </si>
  <si>
    <t>Automatically completed</t>
  </si>
  <si>
    <t>Gains Qualifying for Entrepreneur's Relief:</t>
  </si>
  <si>
    <t>Leave blank for PA shares</t>
  </si>
  <si>
    <t>Gains Invested under Seed Enterprise Investment Scheme:</t>
  </si>
  <si>
    <t>Total losses of the year:</t>
  </si>
  <si>
    <t>Do you want to claim to deduct losses from chargeable gains of an earlier year, to claim capital losses against your income of this tax year or the previous year or to deduct income losses of this tax year from capital gains of this tax year?:</t>
  </si>
  <si>
    <t>You must offset any losses against your gains in the tax year, any excess losses can be carried forward against the first available gains made in the future.</t>
  </si>
  <si>
    <t>Losses brought forward and used in the year:</t>
  </si>
  <si>
    <t>Adjustment to Capital Gains Tax:</t>
  </si>
  <si>
    <t>Additional liability in respect of non-resident or dual resident trusts:</t>
  </si>
  <si>
    <t>Deferred gains from before 23 June 2010 qualifying for Entrepreneurs Relief:</t>
  </si>
  <si>
    <t>Losses available to be carried forward to later years:</t>
  </si>
  <si>
    <t xml:space="preserve">This sheet should be upload to the HMRC portal to provide the required details of your taxable gains. </t>
  </si>
  <si>
    <t>Save a copy of this section into a PDF file, then upload it as part of your return.</t>
  </si>
  <si>
    <t>Description of asset:</t>
  </si>
  <si>
    <t>Date of Sale</t>
  </si>
  <si>
    <t>Shares Sold</t>
  </si>
  <si>
    <t>Proceeds</t>
  </si>
  <si>
    <t>Gain or Loss</t>
  </si>
  <si>
    <t>Class</t>
  </si>
  <si>
    <t>TOTALS:</t>
  </si>
  <si>
    <t>PA</t>
  </si>
  <si>
    <t>PA (Carlyle)</t>
  </si>
  <si>
    <t>PA (Jacobs)</t>
  </si>
  <si>
    <t>Rollover Notes sale</t>
  </si>
  <si>
    <t>Cash shareholder sale</t>
  </si>
  <si>
    <t>Direct Jacobs shares sale</t>
  </si>
  <si>
    <t>TOTALS</t>
  </si>
  <si>
    <t>Cost basis of shares issued on the Closing Date</t>
  </si>
  <si>
    <t>C</t>
  </si>
  <si>
    <r>
      <t xml:space="preserve">1) Click the link open your PA share history and use the </t>
    </r>
    <r>
      <rPr>
        <b/>
        <sz val="9"/>
        <color theme="1"/>
        <rFont val="Calibri"/>
        <family val="2"/>
        <scheme val="minor"/>
      </rPr>
      <t>SAVE icon</t>
    </r>
    <r>
      <rPr>
        <sz val="9"/>
        <color theme="1"/>
        <rFont val="Calibri"/>
        <family val="2"/>
        <scheme val="minor"/>
      </rPr>
      <t xml:space="preserve"> to download it to Excel.   Former / non-employees must email shareplans@paconsulting.com to request their report</t>
    </r>
  </si>
  <si>
    <t>*part of the Share Unit</t>
  </si>
  <si>
    <t>B Ordinary*</t>
  </si>
  <si>
    <t>Preference*</t>
  </si>
  <si>
    <t>Sale price</t>
  </si>
  <si>
    <t>Sale Value*</t>
  </si>
  <si>
    <t>Total value</t>
  </si>
  <si>
    <t>Purchaser Notes</t>
  </si>
  <si>
    <r>
      <t xml:space="preserve">2) Copy (using CTRL-C) and paste (CTRL-V) from your share history report your "20 March 2026 Sale" sheet into the sheet of same name in this excel.   When pasting, first </t>
    </r>
    <r>
      <rPr>
        <u/>
        <sz val="9"/>
        <color theme="1"/>
        <rFont val="Calibri"/>
        <family val="2"/>
        <scheme val="minor"/>
      </rPr>
      <t>select the whole receiving sheet</t>
    </r>
    <r>
      <rPr>
        <sz val="9"/>
        <color theme="1"/>
        <rFont val="Calibri"/>
        <family val="2"/>
        <scheme val="minor"/>
      </rPr>
      <t xml:space="preserve"> by clicking the square about 1 and to the left of A.  This ensures the formulas will flow to this sheet.  </t>
    </r>
  </si>
  <si>
    <t>Preference  incl Stamp duty</t>
  </si>
  <si>
    <t>Per share</t>
  </si>
  <si>
    <t>Jacobs Share value at 20 March 2026</t>
  </si>
  <si>
    <t>Cash paid 1 April 2026</t>
  </si>
  <si>
    <t>Deferred due 20 March 2028</t>
  </si>
  <si>
    <t>B and C total cash</t>
  </si>
  <si>
    <t>Gain in tax year of sale</t>
  </si>
  <si>
    <t>Base cost used 2526</t>
  </si>
  <si>
    <t>YOUR EXPECTED 2025/26 POSITION</t>
  </si>
  <si>
    <t>At Closing total value</t>
  </si>
  <si>
    <t>REPORT 2025/26</t>
  </si>
  <si>
    <t>LESS: Base cost</t>
  </si>
  <si>
    <t>Sale of shares in PA Consulting Group Limited</t>
  </si>
  <si>
    <t>Sale of shares in Jacobs Solutions Inc</t>
  </si>
  <si>
    <t>Future sale DATE TBC</t>
  </si>
  <si>
    <t>Shares sold</t>
  </si>
  <si>
    <t>Future sale Consideration</t>
  </si>
  <si>
    <t>Jacobs Common stock</t>
  </si>
  <si>
    <t>SUPPORTING CALCULATION TO UPLOAD TO HMRC FOR YOUR DECLARATION OF A GAIN IN A LATER TAX YEAR</t>
  </si>
  <si>
    <t>Your future Disposal Proceeds and base cost</t>
  </si>
  <si>
    <t>Note:  For the sale of the above shares in PA Consulting Group Limited, I received Closing consideration in cash and Jacobs shares in March / April 2026 and will receive ascertainable Deferred consideration in cash, in US listed shares, or a mix of both in March 2028.   The combined value of the Closing Cash and Deferred consideration has been declared in 2025/26.</t>
  </si>
  <si>
    <t>note if took Purchaser Rollover Notes</t>
  </si>
  <si>
    <t>note if you did not take Purchaser Rollover Notes</t>
  </si>
  <si>
    <t>Note:  For the sale of the above shares in PA Consulting Group Limited, I received Closing consideration in cash and Jacobs shares in March / April 2026 and will receive ascertainable Deferred consideration in cash, in US listed shares, or a mix of both in March 2028.   The combined value of the Closing Cash, Jacobs opening share value and Deferred consideration has been declared in 2025/26.</t>
  </si>
  <si>
    <t>Share class</t>
  </si>
  <si>
    <r>
      <t xml:space="preserve">YOUR CLOSING CONSIDERATION </t>
    </r>
    <r>
      <rPr>
        <sz val="9"/>
        <color theme="1"/>
        <rFont val="Calibri"/>
        <family val="2"/>
        <scheme val="minor"/>
      </rPr>
      <t>(value delivered on 20 March in Jacobs shares and cash paid on 1 April 2026)</t>
    </r>
  </si>
  <si>
    <t>Did you elect to receive Purchaser Rollover notes? Or Direct Sale?</t>
  </si>
  <si>
    <t>The 1 April cash payment (80% of total initial value for Mixed Consideration shareholders) was derived wholly from Preference share value.  The B Ordinary (and if held C Ordinary) sale consideration values adjusted to reflect the lower price of Jacobs shares on 20 March 2026 than the fixed price set in the Scheme of Arrangement.</t>
  </si>
  <si>
    <r>
      <t xml:space="preserve">If you are satisfied that your above workings are complete and correct, you can proceeds to the </t>
    </r>
    <r>
      <rPr>
        <b/>
        <sz val="10"/>
        <color theme="1"/>
        <rFont val="Calibri"/>
        <family val="2"/>
        <scheme val="minor"/>
      </rPr>
      <t>Tax Return 2025-26</t>
    </r>
    <r>
      <rPr>
        <sz val="10"/>
        <color theme="1"/>
        <rFont val="Calibri"/>
        <family val="2"/>
        <scheme val="minor"/>
      </rPr>
      <t xml:space="preserve"> worksheet which sets out how to input your sale into the HMRC CGT pages and provides a calculation you can upload to HMRC.</t>
    </r>
  </si>
  <si>
    <t>LESS: Base cost allocted to Jacobs shares</t>
  </si>
  <si>
    <r>
      <t xml:space="preserve">YOUR DEFERRED CONSIDERATION                    </t>
    </r>
    <r>
      <rPr>
        <sz val="9"/>
        <color theme="1"/>
        <rFont val="Calibri"/>
        <family val="2"/>
        <scheme val="minor"/>
      </rPr>
      <t>(delivery in 2028)</t>
    </r>
  </si>
  <si>
    <t>Aggregate sale value</t>
  </si>
  <si>
    <t>THE ALLOCATION OF YOUR BASE COST</t>
  </si>
  <si>
    <t>Base cost is set against</t>
  </si>
  <si>
    <t>2025/26</t>
  </si>
  <si>
    <t>Year of Jacobs share sale</t>
  </si>
  <si>
    <t xml:space="preserve">    Base cost allocation to UK tax years</t>
  </si>
  <si>
    <t>This section models CGT on the future sale value of your Jacobs shares and how this sale might be reported on your tax return (it assumes no changes to reporting, tax rates and exemptions)</t>
  </si>
  <si>
    <t xml:space="preserve">    Your consideration allocation to UK tax years</t>
  </si>
  <si>
    <t xml:space="preserve">    YOUR TOTAL SALE CONSIDERATION</t>
  </si>
  <si>
    <t>The consideration in the form of Jacobs shares was received via a series of rollover Purchaser Loan Notes (structured as non-qualifying corporate bonds) in the company stack in exchange for my PA Consulting Group Limited shares. The series of exchanges qualify for share for share rollover relief under s135 TCGA 1992, on the basis that each company held, or as a consequence of the exchange held, more than 25% of the ordinary share capital in the company. I entered into a valid s431 election on acquisition of my PA Consulting Group Limited shares and at each level of the exchange.   The sale transaction was reviewed and confirmed as not being for any tax avoidance motive by HMRC (BAI Clearance &amp; Counteraction Team) under reference CCT/M009/26/NR.</t>
  </si>
  <si>
    <t>Gains</t>
  </si>
  <si>
    <t>Your gains tax rate:</t>
  </si>
  <si>
    <t>The reduced rate is 18% where you have not already used your basic rate bank against income.</t>
  </si>
  <si>
    <t>ShareTransactionHistory User - Power BI</t>
  </si>
  <si>
    <t>IMPORTANT NOTES WHICH MIGHT APPLY TO YOU</t>
  </si>
  <si>
    <t xml:space="preserve">Review and ensure you agree with all default entries below for your base cost.  This is to ensure you report the correct base cost of the shares you sold on 20 March.  </t>
  </si>
  <si>
    <r>
      <t xml:space="preserve">If you received PA shares in March 2021 through "Exchange from Carlyle period PA shares" (row 7), you must use the </t>
    </r>
    <r>
      <rPr>
        <b/>
        <sz val="10"/>
        <color rgb="FF7030A0"/>
        <rFont val="Arial"/>
        <family val="2"/>
      </rPr>
      <t xml:space="preserve">March 2021 </t>
    </r>
    <r>
      <rPr>
        <sz val="10"/>
        <color rgb="FF7030A0"/>
        <rFont val="Arial"/>
        <family val="2"/>
      </rPr>
      <t>worksheet to enter your brought forward base cost details</t>
    </r>
  </si>
  <si>
    <t>UK - Worksheet to help you calculate and report capital gains on your 20 March 2026 sale of PA shares to Jacobs</t>
  </si>
  <si>
    <t>PART A - RUN YOUR PA SHARE TRANSACTION HISTORY TO POPULATE YOUR 20 MARCH 2026 SALE PROCEEDS AND TO ESTABLISH THE BASE COST OF THE PA SHARES YOU SOLD ON 20 MARCH.</t>
  </si>
  <si>
    <t>If you have already worked out your base cost, you can simply overwrite the base cost numbers in blue</t>
  </si>
  <si>
    <t>PART B - YOUR TOTAL PA SHARES SALE VALUE</t>
  </si>
  <si>
    <t xml:space="preserve">After populating your 'Data Share Units' and if applicable 'Data Cshare' worksheets, you must review and amend if needed the below default entries for your base cost.  This is to ensure you report the correct base cost of the shares you sold on 20 March.  </t>
  </si>
  <si>
    <r>
      <t xml:space="preserve">4) Copy (using CTRL-C) and paste (CTRL-V) your share history record  "Data Share Units" into the sheet of the same name in this excel.  When pasting, </t>
    </r>
    <r>
      <rPr>
        <u/>
        <sz val="9"/>
        <color theme="1"/>
        <rFont val="Calibri"/>
        <family val="2"/>
        <scheme val="minor"/>
      </rPr>
      <t>first select cell A1, then paste</t>
    </r>
    <r>
      <rPr>
        <sz val="9"/>
        <color theme="1"/>
        <rFont val="Calibri"/>
        <family val="2"/>
        <scheme val="minor"/>
      </rPr>
      <t xml:space="preserve">.  This ensures the formulas will flow to this sheet.  </t>
    </r>
  </si>
  <si>
    <t>March 2021 UK CGT calculator</t>
  </si>
  <si>
    <r>
      <t xml:space="preserve">PART B - THE BASE COST OF THE SHARES YOU SOLD ON 20 MARCH 2026  </t>
    </r>
    <r>
      <rPr>
        <sz val="9"/>
        <color theme="1"/>
        <rFont val="Calibri"/>
        <family val="2"/>
        <scheme val="minor"/>
      </rPr>
      <t>(POPULATES FROM PART A)</t>
    </r>
  </si>
  <si>
    <t>5) If you have (partner) C Shares copy your share history record "Data C Shares" into the sheet of the same name in this excel, again taking care to into cell A1</t>
  </si>
  <si>
    <t xml:space="preserve">6) Review and ensure you agree with all share entries and base cost flow in your Share Unit pool (and if applicable C share pool).  This is to ensure you report the correct base cost of the shares you sold on 20 March.  </t>
  </si>
  <si>
    <t>These guidance notes have been prepared by PA with the help of external adviser and our understanding of the applicable tax legislation in force at the date of publishing.  While PA has made every effort to ensure the accuracy of these notes, we cannot accept any responsibility for errors or omissions or for any tax reporting that you make based on the guidance contained herein.  The responsibility for ensuring your personal tax affairs are reported accurately remains at all times with you, the taxpayer.  If you have any concerns about your tax position, or you do not fully understand your personal tax reporting obligations, you should engage an independent tax adviser.</t>
  </si>
  <si>
    <t>Your PA C Ordinary  Share history</t>
  </si>
  <si>
    <t/>
  </si>
  <si>
    <t>This report shows the market value of PA shares at the time you made any transaction. These prices may be different from how you calculated base cost for capital gain tax purposes.</t>
  </si>
  <si>
    <t>BSID</t>
  </si>
  <si>
    <t>Holder name</t>
  </si>
  <si>
    <t>COMPANY NAME</t>
  </si>
  <si>
    <t>TRANSACTION DATE</t>
  </si>
  <si>
    <t>TRANSACTION NAME</t>
  </si>
  <si>
    <t>PURCHASES</t>
  </si>
  <si>
    <t>SALES</t>
  </si>
  <si>
    <t>PRICE GBP</t>
  </si>
  <si>
    <t>COST / PROCEEDS GBP</t>
  </si>
  <si>
    <t>CUMULATIVE SHARE UNITS</t>
  </si>
  <si>
    <t>TRANSACTION SUMMARY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</si>
</sst>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00_);_(* \(#,##0.00\);_(* &quot;-&quot;??_);_(@_)"/>
    <numFmt numFmtId="165" formatCode="&quot;£&quot;#,##0.00"/>
    <numFmt numFmtId="166" formatCode="_-&quot;£&quot;* #,##0.0000_-;\-&quot;£&quot;* #,##0.0000_-;_-&quot;£&quot;* &quot;-&quot;??_-;_-@_-"/>
    <numFmt numFmtId="167" formatCode="#,##0.0000"/>
    <numFmt numFmtId="168" formatCode="dd/mm/yyyy;@"/>
    <numFmt numFmtId="169" formatCode="&quot;£&quot;#,##0"/>
    <numFmt numFmtId="170" formatCode="[$-10409]#,##0;\(#,##0\)"/>
    <numFmt numFmtId="171" formatCode="[$-10409]#,##0.00;\(#,##0.00\)"/>
    <numFmt numFmtId="172" formatCode="_-* #,##0_-;[Red]\-* #,##0_-;[Red]_-* &quot;-&quot;_-;_-@_-"/>
    <numFmt numFmtId="173" formatCode="_-* #,##0.000_-;[Red]\-* #,##0.000_-;[Red]_-* &quot;-&quot;??_-;_-@_-"/>
    <numFmt numFmtId="174" formatCode="_-* #,##0_-;\-* #,##0_-;_-* &quot;-&quot;??_-;_-@_-"/>
    <numFmt numFmtId="175" formatCode="_-&quot;£&quot;* #,##0.0000_-;\-&quot;£&quot;* #,##0.0000_-;_-&quot;£&quot;* &quot;-&quot;????_-;_-@_-"/>
    <numFmt numFmtId="176" formatCode="_-&quot;£&quot;* #,##0.00000_-;\-&quot;£&quot;* #,##0.00000_-;_-&quot;£&quot;* &quot;-&quot;?????_-;_-@_-"/>
    <numFmt numFmtId="177" formatCode="_-&quot;£&quot;* #,##0_-;\-&quot;£&quot;* #,##0_-;_-&quot;£&quot;* &quot;-&quot;??_-;_-@_-"/>
    <numFmt numFmtId="178" formatCode="_-* #,##0.00_-;[Red]\-* #,##0.00_-;[Red]_-* &quot;-&quot;??_-;_-@_-"/>
    <numFmt numFmtId="179" formatCode="_-* #,##0_-;[Red]\-* #,##0_-;[Red]_-* &quot;-&quot;??_-;_-@_-"/>
    <numFmt numFmtId="180" formatCode="[$-10409]dd\-mmm\-yyyy"/>
    <numFmt numFmtId="181" formatCode="[$-10409]0.00;\(0.00\)"/>
    <numFmt numFmtId="182" formatCode="[$-10409]#,##0.000;\(#,##0.000\)"/>
    <numFmt numFmtId="183" formatCode="[$-10409]0;\(0\)"/>
    <numFmt numFmtId="184" formatCode="0.0%"/>
    <numFmt numFmtId="185" formatCode="#,##0_ ;\-#,##0\ "/>
  </numFmts>
  <fonts count="90" x14ac:knownFonts="1">
    <font>
      <sz val="11"/>
      <color theme="1"/>
      <name val="Calibri"/>
      <family val="2"/>
      <scheme val="minor"/>
    </font>
    <font>
      <sz val="11"/>
      <color rgb="FFFF0000"/>
      <name val="Calibri"/>
      <family val="2"/>
      <scheme val="minor"/>
    </font>
    <font>
      <b/>
      <sz val="14"/>
      <color theme="0"/>
      <name val="Calibri"/>
      <family val="2"/>
      <scheme val="minor"/>
    </font>
    <font>
      <sz val="12"/>
      <name val="Calibri"/>
      <family val="2"/>
      <scheme val="minor"/>
    </font>
    <font>
      <b/>
      <sz val="12"/>
      <name val="Calibri"/>
      <family val="2"/>
      <scheme val="minor"/>
    </font>
    <font>
      <sz val="10"/>
      <name val="Arial"/>
      <family val="2"/>
    </font>
    <font>
      <b/>
      <sz val="10"/>
      <name val="Arial"/>
      <family val="2"/>
    </font>
    <font>
      <sz val="8"/>
      <name val="Arial"/>
      <family val="2"/>
    </font>
    <font>
      <b/>
      <sz val="12"/>
      <color theme="0"/>
      <name val="Calibri"/>
      <family val="2"/>
      <scheme val="minor"/>
    </font>
    <font>
      <sz val="10"/>
      <name val="Calibri"/>
      <family val="2"/>
      <scheme val="minor"/>
    </font>
    <font>
      <u/>
      <sz val="9"/>
      <color indexed="12"/>
      <name val="Arial"/>
      <family val="2"/>
    </font>
    <font>
      <sz val="9"/>
      <name val="Arial"/>
      <family val="2"/>
    </font>
    <font>
      <u/>
      <sz val="10"/>
      <color theme="10"/>
      <name val="Arial"/>
      <family val="2"/>
    </font>
    <font>
      <sz val="11"/>
      <color theme="1"/>
      <name val="Calibri"/>
      <family val="2"/>
      <scheme val="minor"/>
    </font>
    <font>
      <b/>
      <sz val="12"/>
      <color rgb="FF4F81BD"/>
      <name val="Calibri"/>
      <family val="2"/>
      <scheme val="minor"/>
    </font>
    <font>
      <u/>
      <sz val="12"/>
      <name val="Calibri"/>
      <family val="2"/>
      <scheme val="minor"/>
    </font>
    <font>
      <i/>
      <sz val="12"/>
      <name val="Calibri"/>
      <family val="2"/>
      <scheme val="minor"/>
    </font>
    <font>
      <sz val="12"/>
      <color theme="0"/>
      <name val="Calibri"/>
      <family val="2"/>
      <scheme val="minor"/>
    </font>
    <font>
      <b/>
      <sz val="16"/>
      <color rgb="FF4F81BD"/>
      <name val="Calibri"/>
      <family val="2"/>
      <scheme val="minor"/>
    </font>
    <font>
      <sz val="10"/>
      <color rgb="FF7030A0"/>
      <name val="Arial"/>
      <family val="2"/>
    </font>
    <font>
      <sz val="11"/>
      <color rgb="FF7030A0"/>
      <name val="Calibri"/>
      <family val="2"/>
      <scheme val="minor"/>
    </font>
    <font>
      <b/>
      <sz val="11"/>
      <color theme="1"/>
      <name val="Calibri"/>
      <family val="2"/>
      <scheme val="minor"/>
    </font>
    <font>
      <sz val="12"/>
      <color theme="9" tint="-0.249977111117893"/>
      <name val="Calibri"/>
      <family val="2"/>
      <scheme val="minor"/>
    </font>
    <font>
      <sz val="11"/>
      <color theme="9" tint="-0.249977111117893"/>
      <name val="Calibri"/>
      <family val="2"/>
      <scheme val="minor"/>
    </font>
    <font>
      <sz val="9"/>
      <color theme="2" tint="-0.249977111117893"/>
      <name val="Arial"/>
      <family val="2"/>
    </font>
    <font>
      <sz val="9"/>
      <color theme="1"/>
      <name val="Arial"/>
      <family val="2"/>
    </font>
    <font>
      <i/>
      <sz val="9"/>
      <color theme="1"/>
      <name val="Arial"/>
      <family val="2"/>
    </font>
    <font>
      <b/>
      <sz val="9"/>
      <color theme="0"/>
      <name val="Arial"/>
      <family val="2"/>
    </font>
    <font>
      <sz val="9"/>
      <color theme="0"/>
      <name val="Arial"/>
      <family val="2"/>
    </font>
    <font>
      <sz val="9"/>
      <color theme="0" tint="-0.14999847407452621"/>
      <name val="Arial"/>
      <family val="2"/>
    </font>
    <font>
      <b/>
      <u/>
      <sz val="11"/>
      <color theme="1"/>
      <name val="Calibri"/>
      <family val="2"/>
      <scheme val="minor"/>
    </font>
    <font>
      <sz val="8"/>
      <color theme="1"/>
      <name val="Calibri"/>
      <family val="2"/>
      <scheme val="minor"/>
    </font>
    <font>
      <sz val="9"/>
      <color theme="1"/>
      <name val="Calibri"/>
      <family val="2"/>
      <scheme val="minor"/>
    </font>
    <font>
      <u/>
      <sz val="9"/>
      <color theme="10"/>
      <name val="Calibri"/>
      <family val="2"/>
      <scheme val="minor"/>
    </font>
    <font>
      <b/>
      <sz val="9"/>
      <color theme="1"/>
      <name val="Calibri"/>
      <family val="2"/>
      <scheme val="minor"/>
    </font>
    <font>
      <sz val="9"/>
      <name val="Calibri"/>
      <family val="2"/>
      <scheme val="minor"/>
    </font>
    <font>
      <sz val="9"/>
      <color rgb="FF00B050"/>
      <name val="Calibri"/>
      <family val="2"/>
      <scheme val="minor"/>
    </font>
    <font>
      <sz val="9"/>
      <color rgb="FF0070C0"/>
      <name val="Calibri"/>
      <family val="2"/>
      <scheme val="minor"/>
    </font>
    <font>
      <sz val="9"/>
      <color theme="1" tint="0.34998626667073579"/>
      <name val="Calibri"/>
      <family val="2"/>
      <scheme val="minor"/>
    </font>
    <font>
      <sz val="9"/>
      <color theme="1" tint="0.499984740745262"/>
      <name val="Calibri"/>
      <family val="2"/>
      <scheme val="minor"/>
    </font>
    <font>
      <b/>
      <sz val="9"/>
      <color theme="5" tint="-0.499984740745262"/>
      <name val="Calibri"/>
      <family val="2"/>
      <scheme val="minor"/>
    </font>
    <font>
      <sz val="11"/>
      <color rgb="FF000000"/>
      <name val="Calibri"/>
      <family val="2"/>
      <scheme val="minor"/>
    </font>
    <font>
      <b/>
      <sz val="10"/>
      <color theme="1"/>
      <name val="Calibri"/>
      <family val="2"/>
      <scheme val="minor"/>
    </font>
    <font>
      <sz val="9"/>
      <color rgb="FF7030A0"/>
      <name val="Calibri"/>
      <family val="2"/>
      <scheme val="minor"/>
    </font>
    <font>
      <sz val="8"/>
      <color theme="0" tint="-0.34998626667073579"/>
      <name val="Calibri"/>
      <family val="2"/>
      <scheme val="minor"/>
    </font>
    <font>
      <sz val="10"/>
      <color theme="1"/>
      <name val="Calibri"/>
      <family val="2"/>
      <scheme val="minor"/>
    </font>
    <font>
      <sz val="8"/>
      <name val="Calibri"/>
      <family val="2"/>
      <scheme val="minor"/>
    </font>
    <font>
      <sz val="11"/>
      <name val="Calibri"/>
      <family val="2"/>
    </font>
    <font>
      <b/>
      <sz val="10"/>
      <color rgb="FF000000"/>
      <name val="Arial"/>
      <family val="2"/>
    </font>
    <font>
      <sz val="8"/>
      <color rgb="FF000000"/>
      <name val="Arial"/>
      <family val="2"/>
    </font>
    <font>
      <sz val="8"/>
      <color rgb="FF6495ED"/>
      <name val="Arial"/>
      <family val="2"/>
    </font>
    <font>
      <sz val="10"/>
      <color rgb="FF000000"/>
      <name val="Arial"/>
      <family val="2"/>
    </font>
    <font>
      <b/>
      <sz val="12"/>
      <color rgb="FF000000"/>
      <name val="Arial"/>
      <family val="2"/>
    </font>
    <font>
      <b/>
      <sz val="9"/>
      <color rgb="FF000000"/>
      <name val="Arial"/>
      <family val="2"/>
    </font>
    <font>
      <sz val="9"/>
      <color rgb="FF000000"/>
      <name val="Arial"/>
      <family val="2"/>
    </font>
    <font>
      <i/>
      <sz val="9"/>
      <color rgb="FFC0C0C0"/>
      <name val="Arial"/>
      <family val="2"/>
    </font>
    <font>
      <u/>
      <sz val="9"/>
      <color theme="1"/>
      <name val="Calibri"/>
      <family val="2"/>
      <scheme val="minor"/>
    </font>
    <font>
      <sz val="8"/>
      <color theme="2" tint="-0.249977111117893"/>
      <name val="Calibri"/>
      <family val="2"/>
      <scheme val="minor"/>
    </font>
    <font>
      <sz val="8"/>
      <color theme="2"/>
      <name val="Calibri"/>
      <family val="2"/>
      <scheme val="minor"/>
    </font>
    <font>
      <b/>
      <sz val="9"/>
      <color theme="2" tint="-0.499984740745262"/>
      <name val="Calibri"/>
      <family val="2"/>
      <scheme val="minor"/>
    </font>
    <font>
      <sz val="9"/>
      <color theme="2" tint="-0.499984740745262"/>
      <name val="Calibri"/>
      <family val="2"/>
      <scheme val="minor"/>
    </font>
    <font>
      <b/>
      <sz val="18"/>
      <name val="Calibri"/>
      <family val="2"/>
      <scheme val="minor"/>
    </font>
    <font>
      <sz val="8"/>
      <color theme="2" tint="-0.499984740745262"/>
      <name val="Calibri"/>
      <family val="2"/>
      <scheme val="minor"/>
    </font>
    <font>
      <b/>
      <sz val="14"/>
      <color theme="10"/>
      <name val="Calibri"/>
      <family val="2"/>
      <scheme val="minor"/>
    </font>
    <font>
      <b/>
      <sz val="12"/>
      <color theme="4"/>
      <name val="Calibri"/>
      <family val="2"/>
      <scheme val="minor"/>
    </font>
    <font>
      <sz val="12"/>
      <color theme="2" tint="-0.499984740745262"/>
      <name val="Calibri"/>
      <family val="2"/>
      <scheme val="minor"/>
    </font>
    <font>
      <sz val="11"/>
      <color theme="2" tint="-0.499984740745262"/>
      <name val="Calibri"/>
      <family val="2"/>
      <scheme val="minor"/>
    </font>
    <font>
      <sz val="10"/>
      <color theme="2" tint="-0.499984740745262"/>
      <name val="Arial"/>
      <family val="2"/>
    </font>
    <font>
      <b/>
      <sz val="11"/>
      <color theme="2" tint="-0.499984740745262"/>
      <name val="Calibri"/>
      <family val="2"/>
      <scheme val="minor"/>
    </font>
    <font>
      <b/>
      <sz val="10"/>
      <name val="Calibri"/>
      <family val="2"/>
      <scheme val="minor"/>
    </font>
    <font>
      <u/>
      <sz val="10"/>
      <name val="Calibri"/>
      <family val="2"/>
      <scheme val="minor"/>
    </font>
    <font>
      <sz val="11"/>
      <color theme="2" tint="-0.249977111117893"/>
      <name val="Calibri"/>
      <family val="2"/>
      <scheme val="minor"/>
    </font>
    <font>
      <sz val="8"/>
      <color theme="1"/>
      <name val="Arial"/>
      <family val="2"/>
    </font>
    <font>
      <sz val="9"/>
      <color theme="2" tint="-9.9978637043366805E-2"/>
      <name val="Calibri"/>
      <family val="2"/>
      <scheme val="minor"/>
    </font>
    <font>
      <b/>
      <sz val="14"/>
      <color theme="1"/>
      <name val="Calibri"/>
      <family val="2"/>
      <scheme val="minor"/>
    </font>
    <font>
      <sz val="9"/>
      <color theme="2" tint="-0.249977111117893"/>
      <name val="Calibri"/>
      <family val="2"/>
      <scheme val="minor"/>
    </font>
    <font>
      <sz val="9"/>
      <color theme="10"/>
      <name val="Calibri"/>
      <family val="2"/>
      <scheme val="minor"/>
    </font>
    <font>
      <b/>
      <sz val="12"/>
      <color theme="2" tint="-0.249977111117893"/>
      <name val="Calibri"/>
      <family val="2"/>
      <scheme val="minor"/>
    </font>
    <font>
      <sz val="8"/>
      <color theme="2" tint="-0.249977111117893"/>
      <name val="Arial"/>
      <family val="2"/>
    </font>
    <font>
      <sz val="12"/>
      <color theme="2" tint="-0.249977111117893"/>
      <name val="Calibri"/>
      <family val="2"/>
      <scheme val="minor"/>
    </font>
    <font>
      <b/>
      <sz val="9"/>
      <name val="Calibri"/>
      <family val="2"/>
      <scheme val="minor"/>
    </font>
    <font>
      <sz val="8"/>
      <color theme="2" tint="-9.9978637043366805E-2"/>
      <name val="Arial"/>
      <family val="2"/>
    </font>
    <font>
      <sz val="8"/>
      <color theme="2" tint="-9.9978637043366805E-2"/>
      <name val="Calibri"/>
      <family val="2"/>
      <scheme val="minor"/>
    </font>
    <font>
      <u/>
      <sz val="8"/>
      <color theme="10"/>
      <name val="Arial"/>
      <family val="2"/>
    </font>
    <font>
      <b/>
      <sz val="11"/>
      <color rgb="FF7030A0"/>
      <name val="Calibri"/>
      <family val="2"/>
      <scheme val="minor"/>
    </font>
    <font>
      <b/>
      <sz val="10"/>
      <color rgb="FF7030A0"/>
      <name val="Arial"/>
      <family val="2"/>
    </font>
    <font>
      <sz val="8"/>
      <color rgb="FF7030A0"/>
      <name val="Calibri"/>
      <family val="2"/>
      <scheme val="minor"/>
    </font>
    <font>
      <sz val="6"/>
      <color theme="10"/>
      <name val="Arial"/>
      <family val="2"/>
    </font>
    <font>
      <sz val="9"/>
      <color theme="9" tint="-0.499984740745262"/>
      <name val="Calibri"/>
      <family val="2"/>
      <scheme val="minor"/>
    </font>
    <font>
      <sz val="6"/>
      <color theme="2" tint="-0.249977111117893"/>
      <name val="Calibri"/>
      <family val="2"/>
      <scheme val="minor"/>
    </font>
  </fonts>
  <fills count="23">
    <fill>
      <patternFill patternType="none"/>
    </fill>
    <fill>
      <patternFill patternType="gray125"/>
    </fill>
    <fill>
      <patternFill patternType="solid">
        <fgColor rgb="FF4F81BD"/>
        <bgColor indexed="64"/>
      </patternFill>
    </fill>
    <fill>
      <patternFill patternType="solid">
        <fgColor rgb="FFFFFF00"/>
        <bgColor indexed="64"/>
      </patternFill>
    </fill>
    <fill>
      <patternFill patternType="solid">
        <fgColor rgb="FFFFC000"/>
        <bgColor indexed="64"/>
      </patternFill>
    </fill>
    <fill>
      <patternFill patternType="solid">
        <fgColor rgb="FFFFFF99"/>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2"/>
        <bgColor indexed="64"/>
      </patternFill>
    </fill>
    <fill>
      <patternFill patternType="solid">
        <fgColor rgb="FFFFCEAC"/>
        <bgColor rgb="FFFFCEAC"/>
      </patternFill>
    </fill>
    <fill>
      <patternFill patternType="lightUp"/>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
      <patternFill patternType="gray0625">
        <fgColor theme="4" tint="0.59996337778862885"/>
        <bgColor indexed="65"/>
      </patternFill>
    </fill>
    <fill>
      <patternFill patternType="gray0625">
        <fgColor theme="4" tint="0.59996337778862885"/>
        <bgColor theme="4"/>
      </patternFill>
    </fill>
    <fill>
      <patternFill patternType="solid">
        <fgColor theme="5" tint="0.59999389629810485"/>
        <bgColor indexed="64"/>
      </patternFill>
    </fill>
    <fill>
      <patternFill patternType="solid">
        <fgColor theme="5" tint="0.59999389629810485"/>
        <bgColor rgb="FFFFCEAC"/>
      </patternFill>
    </fill>
    <fill>
      <patternFill patternType="solid">
        <fgColor theme="0"/>
        <bgColor rgb="FFFFCEAC"/>
      </patternFill>
    </fill>
  </fills>
  <borders count="74">
    <border>
      <left/>
      <right/>
      <top/>
      <bottom/>
      <diagonal/>
    </border>
    <border>
      <left style="medium">
        <color rgb="FF4F81BD"/>
      </left>
      <right/>
      <top style="medium">
        <color rgb="FF4F81BD"/>
      </top>
      <bottom/>
      <diagonal/>
    </border>
    <border>
      <left style="medium">
        <color rgb="FF4F81BD"/>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medium">
        <color rgb="FF4F81BD"/>
      </top>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D3D3D3"/>
      </left>
      <right style="thin">
        <color rgb="FFD3D3D3"/>
      </right>
      <top style="thin">
        <color rgb="FF000000"/>
      </top>
      <bottom style="thin">
        <color rgb="FFD3D3D3"/>
      </bottom>
      <diagonal/>
    </border>
    <border>
      <left style="thin">
        <color rgb="FF000000"/>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D3D3D3"/>
      </left>
      <right/>
      <top/>
      <bottom style="thin">
        <color rgb="FFD3D3D3"/>
      </bottom>
      <diagonal/>
    </border>
    <border>
      <left style="thin">
        <color rgb="FFD3D3D3"/>
      </left>
      <right style="thin">
        <color rgb="FF000000"/>
      </right>
      <top/>
      <bottom style="thin">
        <color rgb="FFD3D3D3"/>
      </bottom>
      <diagonal/>
    </border>
    <border>
      <left style="thin">
        <color rgb="FFD3D3D3"/>
      </left>
      <right/>
      <top/>
      <bottom style="thin">
        <color rgb="FF000000"/>
      </bottom>
      <diagonal/>
    </border>
    <border>
      <left style="thin">
        <color rgb="FFD3D3D3"/>
      </left>
      <right style="thin">
        <color rgb="FF000000"/>
      </right>
      <top/>
      <bottom style="thin">
        <color rgb="FF000000"/>
      </bottom>
      <diagonal/>
    </border>
    <border>
      <left style="thin">
        <color rgb="FF000000"/>
      </left>
      <right/>
      <top/>
      <bottom style="thin">
        <color rgb="FF000000"/>
      </bottom>
      <diagonal/>
    </border>
    <border>
      <left style="medium">
        <color indexed="64"/>
      </left>
      <right style="thin">
        <color indexed="64"/>
      </right>
      <top/>
      <bottom style="thin">
        <color indexed="64"/>
      </bottom>
      <diagonal/>
    </border>
    <border>
      <left/>
      <right style="thin">
        <color auto="1"/>
      </right>
      <top/>
      <bottom style="medium">
        <color indexed="64"/>
      </bottom>
      <diagonal/>
    </border>
    <border>
      <left style="thin">
        <color rgb="FF000000"/>
      </left>
      <right/>
      <top/>
      <bottom style="thin">
        <color rgb="FFD3D3D3"/>
      </bottom>
      <diagonal/>
    </border>
    <border>
      <left/>
      <right/>
      <top style="thin">
        <color rgb="FF000000"/>
      </top>
      <bottom/>
      <diagonal/>
    </border>
    <border>
      <left/>
      <right style="hair">
        <color indexed="64"/>
      </right>
      <top style="hair">
        <color indexed="64"/>
      </top>
      <bottom style="hair">
        <color indexed="64"/>
      </bottom>
      <diagonal/>
    </border>
    <border>
      <left style="hair">
        <color indexed="64"/>
      </left>
      <right style="hair">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style="thin">
        <color theme="2" tint="-0.499984740745262"/>
      </right>
      <top/>
      <bottom style="thin">
        <color theme="2" tint="-0.499984740745262"/>
      </bottom>
      <diagonal/>
    </border>
    <border>
      <left/>
      <right/>
      <top/>
      <bottom style="thin">
        <color theme="2" tint="-0.499984740745262"/>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diagonal/>
    </border>
  </borders>
  <cellStyleXfs count="8">
    <xf numFmtId="0" fontId="0" fillId="0" borderId="0"/>
    <xf numFmtId="0" fontId="5" fillId="0" borderId="0"/>
    <xf numFmtId="0" fontId="10" fillId="0" borderId="0" applyNumberFormat="0" applyFill="0" applyBorder="0" applyAlignment="0" applyProtection="0">
      <alignment vertical="top"/>
      <protection locked="0"/>
    </xf>
    <xf numFmtId="0" fontId="12" fillId="0" borderId="0" applyNumberFormat="0" applyFill="0" applyBorder="0" applyAlignment="0" applyProtection="0"/>
    <xf numFmtId="0" fontId="13" fillId="0" borderId="0"/>
    <xf numFmtId="43" fontId="13" fillId="0" borderId="0" applyFont="0" applyFill="0" applyBorder="0" applyAlignment="0" applyProtection="0"/>
    <xf numFmtId="0" fontId="41" fillId="0" borderId="0"/>
    <xf numFmtId="9" fontId="13" fillId="0" borderId="0" applyFont="0" applyFill="0" applyBorder="0" applyAlignment="0" applyProtection="0"/>
  </cellStyleXfs>
  <cellXfs count="579">
    <xf numFmtId="0" fontId="0" fillId="0" borderId="0" xfId="0"/>
    <xf numFmtId="0" fontId="0" fillId="0" borderId="0" xfId="0" applyAlignment="1">
      <alignment vertical="center" wrapText="1"/>
    </xf>
    <xf numFmtId="0" fontId="3" fillId="0" borderId="0" xfId="0" applyFont="1"/>
    <xf numFmtId="0" fontId="2" fillId="2" borderId="2" xfId="0" applyFont="1" applyFill="1" applyBorder="1" applyAlignment="1">
      <alignment vertical="center"/>
    </xf>
    <xf numFmtId="0" fontId="2" fillId="2" borderId="0" xfId="0" applyFont="1" applyFill="1" applyAlignment="1">
      <alignment vertical="center"/>
    </xf>
    <xf numFmtId="41" fontId="2" fillId="2" borderId="0" xfId="0" applyNumberFormat="1" applyFont="1" applyFill="1" applyAlignment="1">
      <alignment vertical="center"/>
    </xf>
    <xf numFmtId="44" fontId="2" fillId="2" borderId="0" xfId="0" applyNumberFormat="1" applyFont="1" applyFill="1" applyAlignment="1">
      <alignment vertical="center"/>
    </xf>
    <xf numFmtId="0" fontId="6" fillId="0" borderId="0" xfId="0" applyFont="1"/>
    <xf numFmtId="41" fontId="5" fillId="0" borderId="0" xfId="0" applyNumberFormat="1" applyFont="1"/>
    <xf numFmtId="44" fontId="5" fillId="0" borderId="0" xfId="0" applyNumberFormat="1" applyFont="1"/>
    <xf numFmtId="0" fontId="5" fillId="0" borderId="0" xfId="0" applyFont="1"/>
    <xf numFmtId="0" fontId="7" fillId="0" borderId="0" xfId="0" applyFont="1" applyAlignment="1">
      <alignment horizontal="right"/>
    </xf>
    <xf numFmtId="0" fontId="6" fillId="0" borderId="0" xfId="0" applyFont="1" applyAlignment="1">
      <alignment horizontal="right"/>
    </xf>
    <xf numFmtId="14" fontId="6" fillId="4" borderId="0" xfId="0" applyNumberFormat="1" applyFont="1" applyFill="1"/>
    <xf numFmtId="0" fontId="8" fillId="2" borderId="15" xfId="0" applyFont="1" applyFill="1" applyBorder="1" applyAlignment="1">
      <alignment horizontal="center" vertical="center" wrapText="1"/>
    </xf>
    <xf numFmtId="165" fontId="3" fillId="0" borderId="0" xfId="0" applyNumberFormat="1" applyFont="1"/>
    <xf numFmtId="0" fontId="6" fillId="0" borderId="24" xfId="0" applyFont="1" applyBorder="1"/>
    <xf numFmtId="167" fontId="5" fillId="0" borderId="0" xfId="0" applyNumberFormat="1" applyFont="1"/>
    <xf numFmtId="0" fontId="4" fillId="0" borderId="0" xfId="0" applyFont="1"/>
    <xf numFmtId="0" fontId="3" fillId="0" borderId="0" xfId="0" applyFont="1" applyAlignment="1">
      <alignment horizontal="center"/>
    </xf>
    <xf numFmtId="0" fontId="3" fillId="0" borderId="0" xfId="0" applyFont="1" applyAlignment="1">
      <alignment horizontal="right"/>
    </xf>
    <xf numFmtId="0" fontId="8" fillId="2" borderId="23" xfId="0" applyFont="1" applyFill="1" applyBorder="1" applyAlignment="1">
      <alignment horizontal="center" vertical="center" wrapText="1"/>
    </xf>
    <xf numFmtId="0" fontId="4" fillId="0" borderId="19" xfId="0" applyFont="1" applyBorder="1"/>
    <xf numFmtId="0" fontId="3" fillId="0" borderId="20" xfId="0" applyFont="1" applyBorder="1"/>
    <xf numFmtId="0" fontId="3" fillId="0" borderId="21" xfId="0" applyFont="1" applyBorder="1"/>
    <xf numFmtId="0" fontId="4" fillId="0" borderId="24" xfId="0" applyFont="1" applyBorder="1"/>
    <xf numFmtId="0" fontId="3" fillId="0" borderId="28" xfId="0" applyFont="1" applyBorder="1"/>
    <xf numFmtId="0" fontId="14" fillId="0" borderId="24" xfId="0" applyFont="1" applyBorder="1"/>
    <xf numFmtId="0" fontId="15" fillId="0" borderId="0" xfId="0" applyFont="1" applyAlignment="1">
      <alignment horizontal="center"/>
    </xf>
    <xf numFmtId="0" fontId="3" fillId="0" borderId="0" xfId="0" applyFont="1" applyAlignment="1">
      <alignment vertical="center" wrapText="1"/>
    </xf>
    <xf numFmtId="0" fontId="3" fillId="0" borderId="28" xfId="0" applyFont="1" applyBorder="1" applyAlignment="1">
      <alignment vertical="center" wrapText="1"/>
    </xf>
    <xf numFmtId="0" fontId="3" fillId="0" borderId="24" xfId="0" applyFont="1" applyBorder="1"/>
    <xf numFmtId="6" fontId="3" fillId="0" borderId="0" xfId="0" applyNumberFormat="1" applyFont="1"/>
    <xf numFmtId="6" fontId="3" fillId="5" borderId="10" xfId="0" applyNumberFormat="1" applyFont="1" applyFill="1" applyBorder="1"/>
    <xf numFmtId="8" fontId="3" fillId="0" borderId="0" xfId="0" applyNumberFormat="1" applyFont="1"/>
    <xf numFmtId="6" fontId="3" fillId="5" borderId="0" xfId="0" applyNumberFormat="1" applyFont="1" applyFill="1" applyAlignment="1">
      <alignment horizontal="right"/>
    </xf>
    <xf numFmtId="0" fontId="16" fillId="0" borderId="28" xfId="0" applyFont="1" applyBorder="1"/>
    <xf numFmtId="6" fontId="3" fillId="0" borderId="10" xfId="0" applyNumberFormat="1" applyFont="1" applyBorder="1" applyAlignment="1">
      <alignment horizontal="right"/>
    </xf>
    <xf numFmtId="0" fontId="16" fillId="0" borderId="28" xfId="0" applyFont="1" applyBorder="1" applyAlignment="1">
      <alignment horizontal="left"/>
    </xf>
    <xf numFmtId="8" fontId="4" fillId="0" borderId="0" xfId="0" applyNumberFormat="1" applyFont="1"/>
    <xf numFmtId="4" fontId="17" fillId="0" borderId="0" xfId="0" applyNumberFormat="1" applyFont="1"/>
    <xf numFmtId="0" fontId="16" fillId="0" borderId="25" xfId="0" applyFont="1" applyBorder="1"/>
    <xf numFmtId="0" fontId="3" fillId="0" borderId="26" xfId="0" applyFont="1" applyBorder="1"/>
    <xf numFmtId="0" fontId="3" fillId="0" borderId="27" xfId="0" applyFont="1" applyBorder="1"/>
    <xf numFmtId="0" fontId="3" fillId="0" borderId="0" xfId="0" applyFont="1" applyAlignment="1">
      <alignment horizontal="left" vertical="center" wrapText="1"/>
    </xf>
    <xf numFmtId="0" fontId="18" fillId="0" borderId="0" xfId="0" applyFont="1"/>
    <xf numFmtId="168" fontId="3" fillId="0" borderId="0" xfId="0" applyNumberFormat="1" applyFont="1" applyAlignment="1">
      <alignment vertical="center" wrapText="1"/>
    </xf>
    <xf numFmtId="3" fontId="3" fillId="0" borderId="0" xfId="0" applyNumberFormat="1" applyFont="1" applyAlignment="1">
      <alignment vertical="center" wrapText="1"/>
    </xf>
    <xf numFmtId="165" fontId="3" fillId="0" borderId="0" xfId="0" applyNumberFormat="1" applyFont="1" applyAlignment="1">
      <alignment vertical="center" wrapText="1"/>
    </xf>
    <xf numFmtId="8" fontId="3" fillId="0" borderId="0" xfId="0" applyNumberFormat="1" applyFont="1" applyAlignment="1">
      <alignment vertical="center" wrapText="1"/>
    </xf>
    <xf numFmtId="0" fontId="0" fillId="0" borderId="0" xfId="0" applyAlignment="1">
      <alignment wrapText="1"/>
    </xf>
    <xf numFmtId="0" fontId="3" fillId="0" borderId="0" xfId="0" applyFont="1" applyAlignment="1">
      <alignment wrapText="1"/>
    </xf>
    <xf numFmtId="0" fontId="17" fillId="0" borderId="0" xfId="0" applyFont="1"/>
    <xf numFmtId="169" fontId="3" fillId="0" borderId="0" xfId="0" applyNumberFormat="1" applyFont="1" applyAlignment="1">
      <alignment horizontal="center"/>
    </xf>
    <xf numFmtId="169" fontId="3" fillId="0" borderId="0" xfId="0" applyNumberFormat="1" applyFont="1"/>
    <xf numFmtId="0" fontId="16" fillId="0" borderId="0" xfId="0" applyFont="1"/>
    <xf numFmtId="8" fontId="4" fillId="0" borderId="28" xfId="0" applyNumberFormat="1" applyFont="1" applyBorder="1" applyAlignment="1">
      <alignment vertical="center" wrapText="1"/>
    </xf>
    <xf numFmtId="0" fontId="19" fillId="0" borderId="0" xfId="0" applyFont="1"/>
    <xf numFmtId="0" fontId="3" fillId="0" borderId="0" xfId="0" applyFont="1" applyAlignment="1">
      <alignment horizontal="center" vertical="center"/>
    </xf>
    <xf numFmtId="165" fontId="4" fillId="0" borderId="0" xfId="0" applyNumberFormat="1" applyFont="1"/>
    <xf numFmtId="9" fontId="3" fillId="0" borderId="0" xfId="0" applyNumberFormat="1" applyFont="1" applyAlignment="1">
      <alignment horizontal="right"/>
    </xf>
    <xf numFmtId="10" fontId="3" fillId="0" borderId="0" xfId="0" applyNumberFormat="1" applyFont="1" applyAlignment="1">
      <alignment horizontal="right"/>
    </xf>
    <xf numFmtId="0" fontId="2" fillId="0" borderId="0" xfId="0" applyFont="1" applyAlignment="1">
      <alignment horizontal="center" vertical="center"/>
    </xf>
    <xf numFmtId="0" fontId="0" fillId="0" borderId="0" xfId="0" applyAlignment="1">
      <alignment vertical="center"/>
    </xf>
    <xf numFmtId="0" fontId="8" fillId="2" borderId="17" xfId="0" applyFont="1" applyFill="1" applyBorder="1" applyAlignment="1">
      <alignment horizontal="center" vertical="center" wrapText="1"/>
    </xf>
    <xf numFmtId="0" fontId="11" fillId="0" borderId="0" xfId="0" applyFont="1"/>
    <xf numFmtId="0" fontId="24" fillId="0" borderId="0" xfId="0" applyFont="1"/>
    <xf numFmtId="14" fontId="11" fillId="0" borderId="0" xfId="0" applyNumberFormat="1" applyFont="1" applyAlignment="1">
      <alignment horizontal="center"/>
    </xf>
    <xf numFmtId="166" fontId="11" fillId="0" borderId="0" xfId="0" applyNumberFormat="1" applyFont="1"/>
    <xf numFmtId="169" fontId="25" fillId="1" borderId="0" xfId="5" applyNumberFormat="1" applyFont="1" applyFill="1" applyBorder="1"/>
    <xf numFmtId="44" fontId="11" fillId="0" borderId="0" xfId="0" applyNumberFormat="1" applyFont="1"/>
    <xf numFmtId="0" fontId="26" fillId="0" borderId="0" xfId="0" applyFont="1"/>
    <xf numFmtId="0" fontId="25" fillId="0" borderId="0" xfId="0" applyFont="1"/>
    <xf numFmtId="0" fontId="25" fillId="6" borderId="22" xfId="0" applyFont="1" applyFill="1" applyBorder="1" applyAlignment="1">
      <alignment horizontal="center" vertical="center" wrapText="1"/>
    </xf>
    <xf numFmtId="41" fontId="28" fillId="2" borderId="15" xfId="0" applyNumberFormat="1" applyFont="1" applyFill="1" applyBorder="1" applyAlignment="1">
      <alignment horizontal="center" vertical="center" wrapText="1"/>
    </xf>
    <xf numFmtId="41" fontId="28" fillId="6" borderId="15" xfId="0" applyNumberFormat="1" applyFont="1" applyFill="1" applyBorder="1" applyAlignment="1">
      <alignment horizontal="center" vertical="center" wrapText="1"/>
    </xf>
    <xf numFmtId="44" fontId="28" fillId="2" borderId="15" xfId="0" applyNumberFormat="1"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18" xfId="0" applyFont="1" applyFill="1" applyBorder="1" applyAlignment="1">
      <alignment horizontal="center" vertical="center" wrapText="1"/>
    </xf>
    <xf numFmtId="172" fontId="11" fillId="0" borderId="0" xfId="0" applyNumberFormat="1" applyFont="1"/>
    <xf numFmtId="172" fontId="11" fillId="7" borderId="0" xfId="0" applyNumberFormat="1" applyFont="1" applyFill="1"/>
    <xf numFmtId="0" fontId="25" fillId="0" borderId="30" xfId="0" applyFont="1" applyBorder="1"/>
    <xf numFmtId="0" fontId="29" fillId="0" borderId="30" xfId="0" applyFont="1" applyBorder="1"/>
    <xf numFmtId="0" fontId="25" fillId="0" borderId="31" xfId="0" applyFont="1" applyBorder="1"/>
    <xf numFmtId="0" fontId="29" fillId="0" borderId="31" xfId="0" applyFont="1" applyBorder="1"/>
    <xf numFmtId="42" fontId="2" fillId="2" borderId="0" xfId="0" applyNumberFormat="1" applyFont="1" applyFill="1" applyAlignment="1">
      <alignment vertical="center"/>
    </xf>
    <xf numFmtId="42" fontId="5" fillId="0" borderId="0" xfId="0" applyNumberFormat="1" applyFont="1"/>
    <xf numFmtId="42" fontId="0" fillId="0" borderId="0" xfId="0" applyNumberFormat="1"/>
    <xf numFmtId="42" fontId="25" fillId="1" borderId="0" xfId="5" applyNumberFormat="1" applyFont="1" applyFill="1" applyBorder="1"/>
    <xf numFmtId="42" fontId="8" fillId="2" borderId="22" xfId="0" applyNumberFormat="1" applyFont="1" applyFill="1" applyBorder="1" applyAlignment="1">
      <alignment horizontal="center" vertical="center" wrapText="1"/>
    </xf>
    <xf numFmtId="42" fontId="25" fillId="0" borderId="0" xfId="5" applyNumberFormat="1" applyFont="1" applyBorder="1"/>
    <xf numFmtId="42" fontId="28" fillId="2" borderId="15" xfId="0" applyNumberFormat="1" applyFont="1" applyFill="1" applyBorder="1" applyAlignment="1">
      <alignment horizontal="center" vertical="center" wrapText="1"/>
    </xf>
    <xf numFmtId="42" fontId="28" fillId="2" borderId="22" xfId="0" applyNumberFormat="1" applyFont="1" applyFill="1" applyBorder="1" applyAlignment="1">
      <alignment horizontal="center" vertical="center" wrapText="1"/>
    </xf>
    <xf numFmtId="0" fontId="3" fillId="0" borderId="24" xfId="0" applyFont="1" applyBorder="1" applyAlignment="1">
      <alignment vertical="center"/>
    </xf>
    <xf numFmtId="0" fontId="3" fillId="0" borderId="0" xfId="0" applyFont="1" applyAlignment="1">
      <alignment vertical="center"/>
    </xf>
    <xf numFmtId="0" fontId="3" fillId="0" borderId="28" xfId="0" applyFont="1" applyBorder="1" applyAlignment="1">
      <alignment vertical="center"/>
    </xf>
    <xf numFmtId="14" fontId="25" fillId="0" borderId="38" xfId="0" applyNumberFormat="1" applyFont="1" applyBorder="1"/>
    <xf numFmtId="14" fontId="25" fillId="0" borderId="39" xfId="0" applyNumberFormat="1" applyFont="1" applyBorder="1"/>
    <xf numFmtId="0" fontId="18" fillId="0" borderId="0" xfId="0" applyFont="1" applyAlignment="1">
      <alignment horizontal="left"/>
    </xf>
    <xf numFmtId="0" fontId="3" fillId="0" borderId="0" xfId="0" applyFont="1" applyAlignment="1">
      <alignment horizontal="left"/>
    </xf>
    <xf numFmtId="0" fontId="0" fillId="0" borderId="0" xfId="0" applyAlignment="1">
      <alignment horizontal="left"/>
    </xf>
    <xf numFmtId="173" fontId="11" fillId="0" borderId="30" xfId="0" applyNumberFormat="1" applyFont="1" applyBorder="1"/>
    <xf numFmtId="173" fontId="11" fillId="0" borderId="31" xfId="0" applyNumberFormat="1" applyFont="1" applyBorder="1"/>
    <xf numFmtId="44" fontId="25" fillId="0" borderId="0" xfId="0" applyNumberFormat="1" applyFont="1"/>
    <xf numFmtId="42" fontId="25" fillId="0" borderId="0" xfId="0" applyNumberFormat="1" applyFont="1"/>
    <xf numFmtId="0" fontId="30" fillId="0" borderId="0" xfId="0" applyFont="1"/>
    <xf numFmtId="43" fontId="25" fillId="0" borderId="0" xfId="0" applyNumberFormat="1" applyFont="1"/>
    <xf numFmtId="0" fontId="17" fillId="2" borderId="22" xfId="0" applyFont="1" applyFill="1" applyBorder="1" applyAlignment="1">
      <alignment horizontal="center" vertical="center" wrapText="1"/>
    </xf>
    <xf numFmtId="14" fontId="2" fillId="0" borderId="0" xfId="0" applyNumberFormat="1" applyFont="1" applyAlignment="1">
      <alignment horizontal="center" vertical="center"/>
    </xf>
    <xf numFmtId="14" fontId="0" fillId="0" borderId="0" xfId="0" applyNumberFormat="1" applyAlignment="1">
      <alignment horizontal="center" vertical="center"/>
    </xf>
    <xf numFmtId="14" fontId="0" fillId="0" borderId="0" xfId="0" applyNumberFormat="1" applyAlignment="1">
      <alignment horizontal="center" vertical="center" wrapText="1"/>
    </xf>
    <xf numFmtId="14" fontId="23" fillId="0" borderId="0" xfId="0" applyNumberFormat="1" applyFont="1" applyAlignment="1">
      <alignment horizontal="center" vertical="center"/>
    </xf>
    <xf numFmtId="0" fontId="5" fillId="0" borderId="0" xfId="0" applyFont="1" applyAlignment="1">
      <alignment vertical="center"/>
    </xf>
    <xf numFmtId="0" fontId="0" fillId="0" borderId="0" xfId="0" applyAlignment="1">
      <alignment horizontal="left" vertical="center"/>
    </xf>
    <xf numFmtId="0" fontId="23" fillId="0" borderId="0" xfId="0" applyFont="1" applyAlignment="1">
      <alignment vertical="center"/>
    </xf>
    <xf numFmtId="0" fontId="15" fillId="0" borderId="24" xfId="0" applyFont="1" applyBorder="1" applyAlignment="1">
      <alignment vertical="center"/>
    </xf>
    <xf numFmtId="0" fontId="15" fillId="0" borderId="28" xfId="0" applyFont="1" applyBorder="1" applyAlignment="1">
      <alignment horizontal="center" vertical="center"/>
    </xf>
    <xf numFmtId="0" fontId="22" fillId="0" borderId="0" xfId="0" applyFont="1" applyAlignment="1">
      <alignment vertical="center"/>
    </xf>
    <xf numFmtId="0" fontId="33" fillId="0" borderId="10" xfId="3" applyFont="1" applyBorder="1" applyAlignment="1">
      <alignment vertical="center"/>
    </xf>
    <xf numFmtId="0" fontId="32" fillId="9" borderId="9" xfId="0" applyFont="1" applyFill="1" applyBorder="1" applyAlignment="1">
      <alignment horizontal="left" vertical="center" wrapText="1"/>
    </xf>
    <xf numFmtId="44" fontId="32" fillId="0" borderId="4" xfId="0" applyNumberFormat="1" applyFont="1" applyBorder="1" applyAlignment="1">
      <alignment vertical="center"/>
    </xf>
    <xf numFmtId="174" fontId="32" fillId="0" borderId="5" xfId="5" applyNumberFormat="1" applyFont="1" applyBorder="1" applyAlignment="1">
      <alignment vertical="center"/>
    </xf>
    <xf numFmtId="44" fontId="32" fillId="0" borderId="7" xfId="0" applyNumberFormat="1" applyFont="1" applyBorder="1" applyAlignment="1">
      <alignment vertical="center"/>
    </xf>
    <xf numFmtId="174" fontId="32" fillId="0" borderId="0" xfId="5" applyNumberFormat="1" applyFont="1" applyBorder="1" applyAlignment="1">
      <alignment vertical="center"/>
    </xf>
    <xf numFmtId="174" fontId="32" fillId="0" borderId="10" xfId="5" applyNumberFormat="1" applyFont="1" applyBorder="1" applyAlignment="1">
      <alignment vertical="center"/>
    </xf>
    <xf numFmtId="44" fontId="32" fillId="0" borderId="10" xfId="0" applyNumberFormat="1" applyFont="1" applyBorder="1" applyAlignment="1">
      <alignment vertical="center"/>
    </xf>
    <xf numFmtId="175" fontId="6" fillId="10" borderId="3" xfId="0" applyNumberFormat="1" applyFont="1" applyFill="1" applyBorder="1" applyAlignment="1">
      <alignment horizontal="center" vertical="top" wrapText="1"/>
    </xf>
    <xf numFmtId="41" fontId="6" fillId="10" borderId="3" xfId="0" applyNumberFormat="1" applyFont="1" applyFill="1" applyBorder="1" applyAlignment="1">
      <alignment horizontal="center" vertical="top"/>
    </xf>
    <xf numFmtId="44" fontId="6" fillId="10" borderId="12" xfId="0" applyNumberFormat="1" applyFont="1" applyFill="1" applyBorder="1" applyAlignment="1">
      <alignment horizontal="left" vertical="top"/>
    </xf>
    <xf numFmtId="176" fontId="0" fillId="10" borderId="14" xfId="0" applyNumberFormat="1" applyFill="1" applyBorder="1" applyAlignment="1">
      <alignment horizontal="center" vertical="top"/>
    </xf>
    <xf numFmtId="175" fontId="0" fillId="0" borderId="3" xfId="0" applyNumberFormat="1" applyBorder="1"/>
    <xf numFmtId="41" fontId="0" fillId="0" borderId="3" xfId="0" applyNumberFormat="1" applyBorder="1"/>
    <xf numFmtId="44" fontId="0" fillId="0" borderId="12" xfId="0" applyNumberFormat="1" applyBorder="1"/>
    <xf numFmtId="176" fontId="0" fillId="0" borderId="14" xfId="0" applyNumberFormat="1" applyBorder="1"/>
    <xf numFmtId="176" fontId="7" fillId="0" borderId="14" xfId="0" applyNumberFormat="1" applyFont="1" applyBorder="1"/>
    <xf numFmtId="44" fontId="6" fillId="0" borderId="12" xfId="0" applyNumberFormat="1" applyFont="1" applyBorder="1"/>
    <xf numFmtId="0" fontId="6" fillId="10" borderId="3" xfId="0" applyFont="1" applyFill="1" applyBorder="1"/>
    <xf numFmtId="0" fontId="6" fillId="10" borderId="3" xfId="0" applyFont="1" applyFill="1" applyBorder="1" applyAlignment="1">
      <alignment horizontal="center"/>
    </xf>
    <xf numFmtId="0" fontId="5" fillId="0" borderId="3" xfId="0" applyFont="1" applyBorder="1"/>
    <xf numFmtId="3" fontId="0" fillId="0" borderId="3" xfId="0" applyNumberFormat="1" applyBorder="1"/>
    <xf numFmtId="165" fontId="0" fillId="0" borderId="3" xfId="0" applyNumberFormat="1" applyBorder="1"/>
    <xf numFmtId="0" fontId="32" fillId="9" borderId="10" xfId="0" applyFont="1" applyFill="1" applyBorder="1" applyAlignment="1">
      <alignment horizontal="center" vertical="center" wrapText="1"/>
    </xf>
    <xf numFmtId="0" fontId="32" fillId="9" borderId="11" xfId="0" applyFont="1" applyFill="1" applyBorder="1" applyAlignment="1">
      <alignment horizontal="center" vertical="center" wrapText="1"/>
    </xf>
    <xf numFmtId="44" fontId="32" fillId="0" borderId="0" xfId="0" applyNumberFormat="1" applyFont="1" applyAlignment="1">
      <alignment vertical="center"/>
    </xf>
    <xf numFmtId="44" fontId="34" fillId="0" borderId="9" xfId="0" applyNumberFormat="1" applyFont="1" applyBorder="1" applyAlignment="1">
      <alignment vertical="center"/>
    </xf>
    <xf numFmtId="0" fontId="32" fillId="9" borderId="5" xfId="0" applyFont="1" applyFill="1" applyBorder="1" applyAlignment="1">
      <alignment horizontal="center" vertical="center" wrapText="1"/>
    </xf>
    <xf numFmtId="44" fontId="34" fillId="0" borderId="0" xfId="0" applyNumberFormat="1" applyFont="1" applyAlignment="1">
      <alignment horizontal="center" vertical="center"/>
    </xf>
    <xf numFmtId="178" fontId="25" fillId="0" borderId="30" xfId="5" applyNumberFormat="1" applyFont="1" applyFill="1" applyBorder="1"/>
    <xf numFmtId="179" fontId="25" fillId="0" borderId="30" xfId="5" applyNumberFormat="1" applyFont="1" applyFill="1" applyBorder="1"/>
    <xf numFmtId="178" fontId="25" fillId="0" borderId="30" xfId="5" applyNumberFormat="1" applyFont="1" applyBorder="1"/>
    <xf numFmtId="178" fontId="25" fillId="0" borderId="31" xfId="5" applyNumberFormat="1" applyFont="1" applyBorder="1"/>
    <xf numFmtId="179" fontId="25" fillId="0" borderId="30" xfId="5" applyNumberFormat="1" applyFont="1" applyBorder="1"/>
    <xf numFmtId="179" fontId="25" fillId="0" borderId="31" xfId="5" applyNumberFormat="1" applyFont="1" applyBorder="1"/>
    <xf numFmtId="166" fontId="32" fillId="0" borderId="5" xfId="0" applyNumberFormat="1" applyFont="1" applyBorder="1" applyAlignment="1">
      <alignment vertical="center"/>
    </xf>
    <xf numFmtId="177" fontId="34" fillId="0" borderId="0" xfId="0" applyNumberFormat="1" applyFont="1" applyAlignment="1">
      <alignment vertical="center"/>
    </xf>
    <xf numFmtId="174" fontId="34" fillId="0" borderId="0" xfId="5" applyNumberFormat="1" applyFont="1" applyBorder="1" applyAlignment="1">
      <alignment vertical="center"/>
    </xf>
    <xf numFmtId="44" fontId="34" fillId="0" borderId="7" xfId="0" applyNumberFormat="1" applyFont="1" applyBorder="1" applyAlignment="1">
      <alignment vertical="center"/>
    </xf>
    <xf numFmtId="174" fontId="34" fillId="0" borderId="0" xfId="5" applyNumberFormat="1" applyFont="1" applyBorder="1" applyAlignment="1">
      <alignment vertical="center" wrapText="1"/>
    </xf>
    <xf numFmtId="174" fontId="34" fillId="0" borderId="10" xfId="5" applyNumberFormat="1" applyFont="1" applyBorder="1" applyAlignment="1">
      <alignment vertical="center"/>
    </xf>
    <xf numFmtId="177" fontId="32" fillId="0" borderId="0" xfId="0" applyNumberFormat="1" applyFont="1" applyAlignment="1">
      <alignment vertical="center"/>
    </xf>
    <xf numFmtId="177" fontId="32" fillId="0" borderId="10" xfId="0" applyNumberFormat="1" applyFont="1" applyBorder="1" applyAlignment="1">
      <alignment vertical="center"/>
    </xf>
    <xf numFmtId="0" fontId="34" fillId="0" borderId="10" xfId="0" applyFont="1" applyBorder="1" applyAlignment="1">
      <alignment horizontal="right" vertical="center"/>
    </xf>
    <xf numFmtId="0" fontId="32" fillId="0" borderId="10" xfId="0" applyFont="1" applyBorder="1" applyAlignment="1">
      <alignment horizontal="right" vertical="center" wrapText="1"/>
    </xf>
    <xf numFmtId="0" fontId="35" fillId="0" borderId="0" xfId="0" applyFont="1" applyAlignment="1">
      <alignment horizontal="center" vertical="center" wrapText="1"/>
    </xf>
    <xf numFmtId="177" fontId="32" fillId="3" borderId="10" xfId="0" applyNumberFormat="1" applyFont="1" applyFill="1" applyBorder="1" applyAlignment="1">
      <alignment vertical="center"/>
    </xf>
    <xf numFmtId="166" fontId="32" fillId="0" borderId="0" xfId="0" applyNumberFormat="1" applyFont="1" applyAlignment="1">
      <alignment vertical="center"/>
    </xf>
    <xf numFmtId="0" fontId="32" fillId="0" borderId="0" xfId="0" applyFont="1" applyAlignment="1">
      <alignment horizontal="center" vertical="center" wrapText="1"/>
    </xf>
    <xf numFmtId="0" fontId="32" fillId="0" borderId="0" xfId="0" applyFont="1" applyAlignment="1">
      <alignment horizontal="right" vertical="center"/>
    </xf>
    <xf numFmtId="174" fontId="34" fillId="0" borderId="11" xfId="5" applyNumberFormat="1" applyFont="1" applyBorder="1" applyAlignment="1">
      <alignment vertical="center"/>
    </xf>
    <xf numFmtId="0" fontId="32" fillId="9" borderId="6" xfId="0" applyFont="1" applyFill="1" applyBorder="1" applyAlignment="1">
      <alignment horizontal="center" vertical="center" wrapText="1"/>
    </xf>
    <xf numFmtId="0" fontId="33" fillId="0" borderId="7" xfId="3" applyFont="1" applyBorder="1" applyAlignment="1">
      <alignment vertical="center"/>
    </xf>
    <xf numFmtId="0" fontId="32" fillId="0" borderId="0" xfId="0" applyFont="1" applyAlignment="1">
      <alignment vertical="center"/>
    </xf>
    <xf numFmtId="177" fontId="40" fillId="0" borderId="5" xfId="0" applyNumberFormat="1" applyFont="1" applyBorder="1" applyAlignment="1">
      <alignment vertical="center"/>
    </xf>
    <xf numFmtId="0" fontId="34" fillId="11" borderId="10" xfId="0" applyFont="1" applyFill="1" applyBorder="1" applyAlignment="1">
      <alignment horizontal="center" vertical="center"/>
    </xf>
    <xf numFmtId="44" fontId="34" fillId="0" borderId="11" xfId="0" applyNumberFormat="1" applyFont="1" applyBorder="1" applyAlignment="1">
      <alignment vertical="center"/>
    </xf>
    <xf numFmtId="44" fontId="32" fillId="0" borderId="6" xfId="0" applyNumberFormat="1" applyFont="1" applyBorder="1" applyAlignment="1">
      <alignment vertical="center"/>
    </xf>
    <xf numFmtId="44" fontId="32" fillId="0" borderId="8" xfId="0" applyNumberFormat="1" applyFont="1" applyBorder="1" applyAlignment="1">
      <alignment vertical="center"/>
    </xf>
    <xf numFmtId="44" fontId="34" fillId="0" borderId="14" xfId="0" applyNumberFormat="1" applyFont="1" applyBorder="1" applyAlignment="1">
      <alignment vertical="center"/>
    </xf>
    <xf numFmtId="44" fontId="32" fillId="0" borderId="5" xfId="0" applyNumberFormat="1" applyFont="1" applyBorder="1" applyAlignment="1">
      <alignment vertical="center"/>
    </xf>
    <xf numFmtId="44" fontId="32" fillId="0" borderId="11" xfId="0" applyNumberFormat="1" applyFont="1" applyBorder="1" applyAlignment="1">
      <alignment vertical="center"/>
    </xf>
    <xf numFmtId="0" fontId="43" fillId="0" borderId="26" xfId="0" applyFont="1" applyBorder="1" applyAlignment="1">
      <alignment horizontal="left" vertical="center"/>
    </xf>
    <xf numFmtId="0" fontId="32" fillId="0" borderId="26" xfId="0" applyFont="1" applyBorder="1" applyAlignment="1">
      <alignment horizontal="center" vertical="center"/>
    </xf>
    <xf numFmtId="44" fontId="34" fillId="0" borderId="49" xfId="0" applyNumberFormat="1" applyFont="1" applyBorder="1" applyAlignment="1">
      <alignment horizontal="center" vertical="center"/>
    </xf>
    <xf numFmtId="177" fontId="34" fillId="0" borderId="7" xfId="0" applyNumberFormat="1" applyFont="1" applyBorder="1" applyAlignment="1">
      <alignment vertical="center"/>
    </xf>
    <xf numFmtId="0" fontId="34" fillId="9" borderId="4" xfId="0" applyFont="1" applyFill="1" applyBorder="1" applyAlignment="1">
      <alignment horizontal="center" vertical="center" wrapText="1"/>
    </xf>
    <xf numFmtId="0" fontId="34" fillId="0" borderId="48" xfId="0" applyFont="1" applyBorder="1" applyAlignment="1">
      <alignment horizontal="center" vertical="center" wrapText="1"/>
    </xf>
    <xf numFmtId="0" fontId="32" fillId="0" borderId="25" xfId="0" applyFont="1" applyBorder="1" applyAlignment="1">
      <alignment horizontal="center" vertical="center"/>
    </xf>
    <xf numFmtId="0" fontId="32" fillId="11" borderId="10" xfId="0" applyFont="1" applyFill="1" applyBorder="1" applyAlignment="1">
      <alignment horizontal="center" vertical="center"/>
    </xf>
    <xf numFmtId="0" fontId="32" fillId="0" borderId="5" xfId="0" applyFont="1" applyBorder="1" applyAlignment="1">
      <alignment vertical="center"/>
    </xf>
    <xf numFmtId="0" fontId="32" fillId="0" borderId="8" xfId="0" applyFont="1" applyBorder="1" applyAlignment="1">
      <alignment vertical="center"/>
    </xf>
    <xf numFmtId="0" fontId="32" fillId="0" borderId="10" xfId="0" applyFont="1" applyBorder="1" applyAlignment="1">
      <alignment vertical="center"/>
    </xf>
    <xf numFmtId="0" fontId="32" fillId="0" borderId="11" xfId="0" applyFont="1" applyBorder="1" applyAlignment="1">
      <alignment vertical="center"/>
    </xf>
    <xf numFmtId="0" fontId="33" fillId="0" borderId="0" xfId="3" applyFont="1" applyAlignment="1">
      <alignment vertical="center"/>
    </xf>
    <xf numFmtId="0" fontId="34" fillId="9" borderId="4" xfId="0" applyFont="1" applyFill="1" applyBorder="1" applyAlignment="1">
      <alignment horizontal="left" vertical="center"/>
    </xf>
    <xf numFmtId="0" fontId="34" fillId="9" borderId="5" xfId="0" applyFont="1" applyFill="1" applyBorder="1" applyAlignment="1">
      <alignment horizontal="left" vertical="center"/>
    </xf>
    <xf numFmtId="0" fontId="34" fillId="9" borderId="6" xfId="0" applyFont="1" applyFill="1" applyBorder="1" applyAlignment="1">
      <alignment horizontal="left" vertical="center"/>
    </xf>
    <xf numFmtId="0" fontId="34" fillId="0" borderId="0" xfId="0" applyFont="1" applyAlignment="1">
      <alignment horizontal="right" vertical="center"/>
    </xf>
    <xf numFmtId="44" fontId="34" fillId="0" borderId="8" xfId="0" applyNumberFormat="1" applyFont="1" applyBorder="1" applyAlignment="1">
      <alignment vertical="center"/>
    </xf>
    <xf numFmtId="0" fontId="33" fillId="0" borderId="0" xfId="3" applyFont="1" applyBorder="1" applyAlignment="1">
      <alignment vertical="center"/>
    </xf>
    <xf numFmtId="0" fontId="31" fillId="0" borderId="0" xfId="0" applyFont="1" applyAlignment="1">
      <alignment vertical="center"/>
    </xf>
    <xf numFmtId="0" fontId="32" fillId="0" borderId="7" xfId="0" applyFont="1" applyBorder="1" applyAlignment="1">
      <alignment vertical="center"/>
    </xf>
    <xf numFmtId="0" fontId="32" fillId="0" borderId="20" xfId="0" applyFont="1" applyBorder="1" applyAlignment="1">
      <alignment vertical="center"/>
    </xf>
    <xf numFmtId="44" fontId="37" fillId="0" borderId="0" xfId="0" applyNumberFormat="1" applyFont="1" applyAlignment="1">
      <alignment vertical="center"/>
    </xf>
    <xf numFmtId="0" fontId="37" fillId="0" borderId="0" xfId="0" applyFont="1" applyAlignment="1">
      <alignment vertical="center"/>
    </xf>
    <xf numFmtId="179" fontId="25" fillId="0" borderId="39" xfId="5" applyNumberFormat="1" applyFont="1" applyFill="1" applyBorder="1"/>
    <xf numFmtId="178" fontId="25" fillId="0" borderId="52" xfId="5" applyNumberFormat="1" applyFont="1" applyFill="1" applyBorder="1"/>
    <xf numFmtId="178" fontId="25" fillId="0" borderId="53" xfId="5" applyNumberFormat="1" applyFont="1" applyFill="1" applyBorder="1"/>
    <xf numFmtId="165" fontId="0" fillId="0" borderId="0" xfId="0" applyNumberFormat="1" applyAlignment="1">
      <alignment vertical="center"/>
    </xf>
    <xf numFmtId="0" fontId="32" fillId="0" borderId="0" xfId="0" applyFont="1" applyAlignment="1">
      <alignment horizontal="left" vertical="center"/>
    </xf>
    <xf numFmtId="0" fontId="39" fillId="0" borderId="0" xfId="0" applyFont="1" applyAlignment="1">
      <alignment horizontal="left" vertical="center"/>
    </xf>
    <xf numFmtId="44" fontId="32" fillId="0" borderId="11" xfId="0" applyNumberFormat="1" applyFont="1" applyBorder="1" applyAlignment="1">
      <alignment horizontal="left" vertical="center"/>
    </xf>
    <xf numFmtId="184" fontId="44" fillId="0" borderId="0" xfId="7" applyNumberFormat="1" applyFont="1" applyAlignment="1">
      <alignment horizontal="left" vertical="center"/>
    </xf>
    <xf numFmtId="44" fontId="32" fillId="0" borderId="0" xfId="0" applyNumberFormat="1" applyFont="1" applyAlignment="1">
      <alignment horizontal="left" vertical="center"/>
    </xf>
    <xf numFmtId="44" fontId="36" fillId="0" borderId="0" xfId="4" applyNumberFormat="1" applyFont="1" applyAlignment="1">
      <alignment horizontal="left" vertical="center"/>
    </xf>
    <xf numFmtId="0" fontId="3" fillId="0" borderId="24" xfId="0" applyFont="1" applyBorder="1" applyAlignment="1">
      <alignment horizontal="left" vertical="center" wrapText="1"/>
    </xf>
    <xf numFmtId="0" fontId="3" fillId="0" borderId="28" xfId="0" applyFont="1" applyBorder="1" applyAlignment="1">
      <alignment horizontal="left" vertical="center" wrapText="1"/>
    </xf>
    <xf numFmtId="0" fontId="46" fillId="0" borderId="9" xfId="0" applyFont="1" applyBorder="1" applyAlignment="1">
      <alignment horizontal="left" vertical="center" wrapText="1"/>
    </xf>
    <xf numFmtId="0" fontId="47" fillId="0" borderId="0" xfId="0" applyFont="1"/>
    <xf numFmtId="0" fontId="48" fillId="12" borderId="41" xfId="0" applyFont="1" applyFill="1" applyBorder="1" applyAlignment="1">
      <alignment horizontal="center" vertical="center" wrapText="1" readingOrder="1"/>
    </xf>
    <xf numFmtId="0" fontId="48" fillId="12" borderId="42" xfId="0" applyFont="1" applyFill="1" applyBorder="1" applyAlignment="1">
      <alignment horizontal="center" vertical="center" wrapText="1" readingOrder="1"/>
    </xf>
    <xf numFmtId="0" fontId="49" fillId="0" borderId="50" xfId="0" applyFont="1" applyBorder="1" applyAlignment="1">
      <alignment horizontal="left" vertical="center" wrapText="1" readingOrder="1"/>
    </xf>
    <xf numFmtId="0" fontId="49" fillId="0" borderId="43" xfId="0" applyFont="1" applyBorder="1" applyAlignment="1">
      <alignment horizontal="right" vertical="center" wrapText="1" readingOrder="1"/>
    </xf>
    <xf numFmtId="0" fontId="49" fillId="0" borderId="44" xfId="0" applyFont="1" applyBorder="1" applyAlignment="1">
      <alignment horizontal="center" vertical="center" wrapText="1" readingOrder="1"/>
    </xf>
    <xf numFmtId="0" fontId="49" fillId="0" borderId="47" xfId="0" applyFont="1" applyBorder="1" applyAlignment="1">
      <alignment horizontal="left" vertical="center" wrapText="1" readingOrder="1"/>
    </xf>
    <xf numFmtId="0" fontId="49" fillId="0" borderId="45" xfId="0" applyFont="1" applyBorder="1" applyAlignment="1">
      <alignment horizontal="right" vertical="center" wrapText="1" readingOrder="1"/>
    </xf>
    <xf numFmtId="0" fontId="49" fillId="0" borderId="46" xfId="0" applyFont="1" applyBorder="1" applyAlignment="1">
      <alignment horizontal="center" vertical="center" wrapText="1" readingOrder="1"/>
    </xf>
    <xf numFmtId="170" fontId="49" fillId="0" borderId="43" xfId="0" applyNumberFormat="1" applyFont="1" applyBorder="1" applyAlignment="1">
      <alignment horizontal="right" vertical="center" wrapText="1" readingOrder="1"/>
    </xf>
    <xf numFmtId="171" fontId="49" fillId="0" borderId="43" xfId="0" applyNumberFormat="1" applyFont="1" applyBorder="1" applyAlignment="1">
      <alignment horizontal="right" vertical="center" wrapText="1" readingOrder="1"/>
    </xf>
    <xf numFmtId="0" fontId="49" fillId="0" borderId="44" xfId="0" applyFont="1" applyBorder="1" applyAlignment="1">
      <alignment horizontal="left" vertical="center" wrapText="1" readingOrder="1"/>
    </xf>
    <xf numFmtId="171" fontId="50" fillId="0" borderId="43" xfId="0" applyNumberFormat="1" applyFont="1" applyBorder="1" applyAlignment="1">
      <alignment horizontal="right" vertical="center" wrapText="1" readingOrder="1"/>
    </xf>
    <xf numFmtId="171" fontId="50" fillId="0" borderId="45" xfId="0" applyNumberFormat="1" applyFont="1" applyBorder="1" applyAlignment="1">
      <alignment horizontal="right" vertical="center" wrapText="1" readingOrder="1"/>
    </xf>
    <xf numFmtId="0" fontId="49" fillId="0" borderId="46" xfId="0" applyFont="1" applyBorder="1" applyAlignment="1">
      <alignment horizontal="left" vertical="center" wrapText="1" readingOrder="1"/>
    </xf>
    <xf numFmtId="0" fontId="49" fillId="0" borderId="50" xfId="0" applyFont="1" applyBorder="1" applyAlignment="1">
      <alignment horizontal="center" vertical="center" wrapText="1" readingOrder="1"/>
    </xf>
    <xf numFmtId="0" fontId="49" fillId="0" borderId="43" xfId="0" applyFont="1" applyBorder="1" applyAlignment="1">
      <alignment horizontal="center" vertical="center" wrapText="1" readingOrder="1"/>
    </xf>
    <xf numFmtId="0" fontId="49" fillId="0" borderId="47" xfId="0" applyFont="1" applyBorder="1" applyAlignment="1">
      <alignment horizontal="center" vertical="center" wrapText="1" readingOrder="1"/>
    </xf>
    <xf numFmtId="0" fontId="49" fillId="0" borderId="45" xfId="0" applyFont="1" applyBorder="1" applyAlignment="1">
      <alignment horizontal="center" vertical="center" wrapText="1" readingOrder="1"/>
    </xf>
    <xf numFmtId="0" fontId="51" fillId="0" borderId="46" xfId="0" applyFont="1" applyBorder="1" applyAlignment="1">
      <alignment horizontal="center" vertical="center" wrapText="1" readingOrder="1"/>
    </xf>
    <xf numFmtId="178" fontId="25" fillId="0" borderId="31" xfId="5" applyNumberFormat="1" applyFont="1" applyFill="1" applyBorder="1"/>
    <xf numFmtId="0" fontId="32" fillId="15" borderId="18" xfId="0" applyFont="1" applyFill="1" applyBorder="1" applyAlignment="1">
      <alignment vertical="center"/>
    </xf>
    <xf numFmtId="0" fontId="34" fillId="0" borderId="15" xfId="0" applyFont="1" applyBorder="1" applyAlignment="1">
      <alignment horizontal="center" vertical="center"/>
    </xf>
    <xf numFmtId="0" fontId="32" fillId="15" borderId="15" xfId="0" applyFont="1" applyFill="1" applyBorder="1" applyAlignment="1">
      <alignment vertical="center"/>
    </xf>
    <xf numFmtId="44" fontId="57" fillId="0" borderId="0" xfId="0" applyNumberFormat="1" applyFont="1" applyAlignment="1">
      <alignment vertical="center"/>
    </xf>
    <xf numFmtId="0" fontId="34" fillId="0" borderId="54" xfId="0" applyFont="1" applyBorder="1" applyAlignment="1">
      <alignment horizontal="center" vertical="center"/>
    </xf>
    <xf numFmtId="44" fontId="32" fillId="0" borderId="6" xfId="0" applyNumberFormat="1" applyFont="1" applyBorder="1" applyAlignment="1">
      <alignment horizontal="left" vertical="center"/>
    </xf>
    <xf numFmtId="0" fontId="34" fillId="0" borderId="55" xfId="0" applyFont="1" applyBorder="1" applyAlignment="1">
      <alignment horizontal="center" vertical="center"/>
    </xf>
    <xf numFmtId="44" fontId="32" fillId="0" borderId="8" xfId="0" applyNumberFormat="1" applyFont="1" applyBorder="1" applyAlignment="1">
      <alignment horizontal="left" vertical="center"/>
    </xf>
    <xf numFmtId="44" fontId="32" fillId="13" borderId="0" xfId="0" applyNumberFormat="1" applyFont="1" applyFill="1" applyAlignment="1">
      <alignment vertical="center"/>
    </xf>
    <xf numFmtId="44" fontId="34" fillId="0" borderId="26" xfId="0" applyNumberFormat="1" applyFont="1" applyBorder="1" applyAlignment="1">
      <alignment vertical="center"/>
    </xf>
    <xf numFmtId="44" fontId="32" fillId="0" borderId="7" xfId="0" applyNumberFormat="1" applyFont="1" applyBorder="1" applyAlignment="1">
      <alignment horizontal="left" vertical="center"/>
    </xf>
    <xf numFmtId="44" fontId="34" fillId="0" borderId="9" xfId="0" applyNumberFormat="1" applyFont="1" applyBorder="1" applyAlignment="1">
      <alignment horizontal="left" vertical="center"/>
    </xf>
    <xf numFmtId="44" fontId="32" fillId="0" borderId="4" xfId="0" applyNumberFormat="1" applyFont="1" applyBorder="1" applyAlignment="1">
      <alignment horizontal="left" vertical="center"/>
    </xf>
    <xf numFmtId="44" fontId="32" fillId="0" borderId="5" xfId="0" applyNumberFormat="1" applyFont="1" applyBorder="1" applyAlignment="1">
      <alignment horizontal="left" vertical="center"/>
    </xf>
    <xf numFmtId="44" fontId="32" fillId="0" borderId="9" xfId="0" applyNumberFormat="1" applyFont="1" applyBorder="1" applyAlignment="1">
      <alignment horizontal="left" vertical="center"/>
    </xf>
    <xf numFmtId="44" fontId="32" fillId="0" borderId="10" xfId="0" applyNumberFormat="1" applyFont="1" applyBorder="1" applyAlignment="1">
      <alignment horizontal="left" vertical="center"/>
    </xf>
    <xf numFmtId="0" fontId="15" fillId="0" borderId="0" xfId="0" applyFont="1" applyAlignment="1">
      <alignment horizontal="center" vertical="center"/>
    </xf>
    <xf numFmtId="168" fontId="3" fillId="0" borderId="0" xfId="0" applyNumberFormat="1" applyFont="1" applyAlignment="1">
      <alignment horizontal="center" vertical="center"/>
    </xf>
    <xf numFmtId="3" fontId="3" fillId="0" borderId="0" xfId="0" applyNumberFormat="1" applyFont="1" applyAlignment="1">
      <alignment vertical="center"/>
    </xf>
    <xf numFmtId="44" fontId="3" fillId="0" borderId="28" xfId="0" applyNumberFormat="1" applyFont="1" applyBorder="1" applyAlignment="1">
      <alignment vertical="center"/>
    </xf>
    <xf numFmtId="3" fontId="4" fillId="0" borderId="0" xfId="0" applyNumberFormat="1" applyFont="1" applyAlignment="1">
      <alignment vertical="center"/>
    </xf>
    <xf numFmtId="44" fontId="4" fillId="0" borderId="28" xfId="0" applyNumberFormat="1" applyFont="1" applyBorder="1" applyAlignment="1">
      <alignment vertical="center"/>
    </xf>
    <xf numFmtId="169" fontId="4" fillId="0" borderId="0" xfId="0" applyNumberFormat="1" applyFont="1" applyAlignment="1">
      <alignment vertical="center" wrapText="1"/>
    </xf>
    <xf numFmtId="0" fontId="1" fillId="0" borderId="0" xfId="0" applyFont="1" applyAlignment="1">
      <alignment vertical="center"/>
    </xf>
    <xf numFmtId="0" fontId="1" fillId="0" borderId="0" xfId="0" applyFont="1"/>
    <xf numFmtId="44" fontId="32" fillId="0" borderId="9" xfId="0" applyNumberFormat="1" applyFont="1" applyBorder="1" applyAlignment="1">
      <alignment vertical="center"/>
    </xf>
    <xf numFmtId="44" fontId="34" fillId="0" borderId="56" xfId="0" applyNumberFormat="1" applyFont="1" applyBorder="1" applyAlignment="1">
      <alignment vertical="center"/>
    </xf>
    <xf numFmtId="3" fontId="32" fillId="0" borderId="4" xfId="0" applyNumberFormat="1" applyFont="1" applyBorder="1" applyAlignment="1">
      <alignment horizontal="center" vertical="center"/>
    </xf>
    <xf numFmtId="3" fontId="32" fillId="0" borderId="7" xfId="0" applyNumberFormat="1" applyFont="1" applyBorder="1" applyAlignment="1">
      <alignment horizontal="center" vertical="center"/>
    </xf>
    <xf numFmtId="3" fontId="32" fillId="0" borderId="9" xfId="0" applyNumberFormat="1" applyFont="1" applyBorder="1" applyAlignment="1">
      <alignment horizontal="center" vertical="center"/>
    </xf>
    <xf numFmtId="166" fontId="32" fillId="0" borderId="10" xfId="0" applyNumberFormat="1" applyFont="1" applyBorder="1" applyAlignment="1">
      <alignment vertical="center"/>
    </xf>
    <xf numFmtId="0" fontId="32" fillId="11" borderId="4" xfId="0" applyFont="1" applyFill="1" applyBorder="1" applyAlignment="1">
      <alignment horizontal="left" vertical="center"/>
    </xf>
    <xf numFmtId="0" fontId="34" fillId="11" borderId="7" xfId="0" applyFont="1" applyFill="1" applyBorder="1" applyAlignment="1">
      <alignment horizontal="center" vertical="center"/>
    </xf>
    <xf numFmtId="0" fontId="32" fillId="11" borderId="8" xfId="0" applyFont="1" applyFill="1" applyBorder="1" applyAlignment="1">
      <alignment horizontal="center" vertical="center" wrapText="1"/>
    </xf>
    <xf numFmtId="0" fontId="58" fillId="17" borderId="0" xfId="0" applyFont="1" applyFill="1" applyAlignment="1">
      <alignment horizontal="right" vertical="center"/>
    </xf>
    <xf numFmtId="44" fontId="58" fillId="17" borderId="0" xfId="0" applyNumberFormat="1" applyFont="1" applyFill="1" applyAlignment="1">
      <alignment vertical="center"/>
    </xf>
    <xf numFmtId="0" fontId="34" fillId="9" borderId="4" xfId="0" applyFont="1" applyFill="1" applyBorder="1" applyAlignment="1">
      <alignment vertical="center"/>
    </xf>
    <xf numFmtId="0" fontId="34" fillId="16" borderId="9" xfId="0" applyFont="1" applyFill="1" applyBorder="1" applyAlignment="1">
      <alignment horizontal="center" vertical="center" wrapText="1"/>
    </xf>
    <xf numFmtId="0" fontId="34" fillId="16" borderId="10" xfId="0" applyFont="1" applyFill="1" applyBorder="1" applyAlignment="1">
      <alignment horizontal="center" vertical="center" wrapText="1"/>
    </xf>
    <xf numFmtId="0" fontId="34" fillId="16" borderId="11" xfId="0" applyFont="1" applyFill="1" applyBorder="1" applyAlignment="1">
      <alignment horizontal="center" vertical="center" wrapText="1"/>
    </xf>
    <xf numFmtId="0" fontId="59" fillId="11" borderId="10" xfId="0" applyFont="1" applyFill="1" applyBorder="1" applyAlignment="1">
      <alignment horizontal="center" vertical="center"/>
    </xf>
    <xf numFmtId="44" fontId="60" fillId="0" borderId="5" xfId="0" applyNumberFormat="1" applyFont="1" applyBorder="1" applyAlignment="1">
      <alignment vertical="center"/>
    </xf>
    <xf numFmtId="44" fontId="60" fillId="0" borderId="10" xfId="0" applyNumberFormat="1" applyFont="1" applyBorder="1" applyAlignment="1">
      <alignment vertical="center"/>
    </xf>
    <xf numFmtId="0" fontId="61" fillId="0" borderId="19" xfId="0" applyFont="1" applyBorder="1"/>
    <xf numFmtId="0" fontId="63" fillId="11" borderId="19" xfId="3" applyFont="1" applyFill="1" applyBorder="1" applyAlignment="1">
      <alignment vertical="center"/>
    </xf>
    <xf numFmtId="0" fontId="35" fillId="11" borderId="20" xfId="0" applyFont="1" applyFill="1" applyBorder="1" applyAlignment="1">
      <alignment horizontal="center" vertical="center" wrapText="1"/>
    </xf>
    <xf numFmtId="0" fontId="33" fillId="11" borderId="20" xfId="3" applyFont="1" applyFill="1" applyBorder="1" applyAlignment="1">
      <alignment vertical="center"/>
    </xf>
    <xf numFmtId="44" fontId="38" fillId="11" borderId="20" xfId="0" applyNumberFormat="1" applyFont="1" applyFill="1" applyBorder="1" applyAlignment="1">
      <alignment vertical="center"/>
    </xf>
    <xf numFmtId="0" fontId="38" fillId="11" borderId="20" xfId="0" applyFont="1" applyFill="1" applyBorder="1" applyAlignment="1">
      <alignment vertical="center"/>
    </xf>
    <xf numFmtId="0" fontId="32" fillId="11" borderId="21" xfId="0" applyFont="1" applyFill="1" applyBorder="1" applyAlignment="1">
      <alignment vertical="center"/>
    </xf>
    <xf numFmtId="0" fontId="32" fillId="11" borderId="58" xfId="0" applyFont="1" applyFill="1" applyBorder="1" applyAlignment="1">
      <alignment vertical="center"/>
    </xf>
    <xf numFmtId="44" fontId="31" fillId="0" borderId="59" xfId="0" applyNumberFormat="1" applyFont="1" applyBorder="1" applyAlignment="1">
      <alignment vertical="center"/>
    </xf>
    <xf numFmtId="0" fontId="32" fillId="0" borderId="60" xfId="0" applyFont="1" applyBorder="1" applyAlignment="1">
      <alignment vertical="center"/>
    </xf>
    <xf numFmtId="44" fontId="31" fillId="0" borderId="24" xfId="0" applyNumberFormat="1" applyFont="1" applyBorder="1" applyAlignment="1">
      <alignment vertical="center"/>
    </xf>
    <xf numFmtId="44" fontId="60" fillId="0" borderId="0" xfId="0" applyNumberFormat="1" applyFont="1" applyAlignment="1">
      <alignment vertical="center"/>
    </xf>
    <xf numFmtId="0" fontId="32" fillId="0" borderId="28" xfId="0" applyFont="1" applyBorder="1" applyAlignment="1">
      <alignment vertical="center"/>
    </xf>
    <xf numFmtId="44" fontId="34" fillId="0" borderId="24" xfId="0" applyNumberFormat="1" applyFont="1" applyBorder="1" applyAlignment="1">
      <alignment vertical="center"/>
    </xf>
    <xf numFmtId="44" fontId="59" fillId="0" borderId="0" xfId="0" applyNumberFormat="1" applyFont="1" applyAlignment="1">
      <alignment vertical="center"/>
    </xf>
    <xf numFmtId="44" fontId="34" fillId="0" borderId="0" xfId="0" applyNumberFormat="1" applyFont="1" applyAlignment="1">
      <alignment vertical="center"/>
    </xf>
    <xf numFmtId="0" fontId="31" fillId="0" borderId="28" xfId="0" applyFont="1" applyBorder="1" applyAlignment="1">
      <alignment vertical="center"/>
    </xf>
    <xf numFmtId="0" fontId="32" fillId="0" borderId="24" xfId="0" applyFont="1" applyBorder="1" applyAlignment="1">
      <alignment vertical="center"/>
    </xf>
    <xf numFmtId="44" fontId="31" fillId="0" borderId="28" xfId="0" applyNumberFormat="1" applyFont="1" applyBorder="1" applyAlignment="1">
      <alignment horizontal="left" vertical="center"/>
    </xf>
    <xf numFmtId="0" fontId="31" fillId="0" borderId="28" xfId="0" applyFont="1" applyBorder="1" applyAlignment="1">
      <alignment horizontal="left" vertical="center"/>
    </xf>
    <xf numFmtId="0" fontId="33" fillId="0" borderId="24" xfId="3" applyFont="1" applyBorder="1" applyAlignment="1">
      <alignment vertical="center"/>
    </xf>
    <xf numFmtId="0" fontId="31" fillId="0" borderId="0" xfId="0" applyFont="1" applyAlignment="1">
      <alignment horizontal="right" vertical="center"/>
    </xf>
    <xf numFmtId="9" fontId="32" fillId="3" borderId="0" xfId="0" applyNumberFormat="1" applyFont="1" applyFill="1" applyAlignment="1">
      <alignment vertical="center"/>
    </xf>
    <xf numFmtId="0" fontId="32" fillId="0" borderId="25" xfId="0" applyFont="1" applyBorder="1" applyAlignment="1">
      <alignment vertical="center"/>
    </xf>
    <xf numFmtId="0" fontId="32" fillId="0" borderId="26" xfId="0" applyFont="1" applyBorder="1" applyAlignment="1">
      <alignment vertical="center"/>
    </xf>
    <xf numFmtId="0" fontId="32" fillId="0" borderId="27" xfId="0" applyFont="1" applyBorder="1" applyAlignment="1">
      <alignment vertical="center"/>
    </xf>
    <xf numFmtId="44" fontId="32" fillId="0" borderId="24" xfId="0" applyNumberFormat="1" applyFont="1" applyBorder="1" applyAlignment="1">
      <alignment vertical="center"/>
    </xf>
    <xf numFmtId="185" fontId="32" fillId="3" borderId="0" xfId="0" applyNumberFormat="1" applyFont="1" applyFill="1" applyAlignment="1">
      <alignment vertical="center"/>
    </xf>
    <xf numFmtId="44" fontId="32" fillId="3" borderId="0" xfId="0" applyNumberFormat="1" applyFont="1" applyFill="1" applyAlignment="1">
      <alignment vertical="center"/>
    </xf>
    <xf numFmtId="168" fontId="32" fillId="3" borderId="0" xfId="0" applyNumberFormat="1" applyFont="1" applyFill="1" applyAlignment="1">
      <alignment horizontal="right" vertical="center"/>
    </xf>
    <xf numFmtId="0" fontId="32" fillId="0" borderId="24" xfId="4" applyFont="1" applyBorder="1" applyAlignment="1">
      <alignment vertical="center"/>
    </xf>
    <xf numFmtId="3" fontId="34" fillId="0" borderId="0" xfId="4" applyNumberFormat="1" applyFont="1" applyAlignment="1">
      <alignment horizontal="center" vertical="center"/>
    </xf>
    <xf numFmtId="44" fontId="32" fillId="0" borderId="0" xfId="4" applyNumberFormat="1" applyFont="1" applyAlignment="1">
      <alignment vertical="center"/>
    </xf>
    <xf numFmtId="164" fontId="32" fillId="0" borderId="0" xfId="4" applyNumberFormat="1" applyFont="1" applyAlignment="1">
      <alignment vertical="center"/>
    </xf>
    <xf numFmtId="0" fontId="32" fillId="0" borderId="28" xfId="4" applyFont="1" applyBorder="1" applyAlignment="1">
      <alignment vertical="center"/>
    </xf>
    <xf numFmtId="0" fontId="64" fillId="0" borderId="24" xfId="0" applyFont="1" applyBorder="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0" fontId="65" fillId="0" borderId="0" xfId="0" applyFont="1" applyAlignment="1">
      <alignment vertical="center"/>
    </xf>
    <xf numFmtId="14" fontId="66" fillId="0" borderId="0" xfId="0" applyNumberFormat="1" applyFont="1" applyAlignment="1">
      <alignment horizontal="center" vertical="center"/>
    </xf>
    <xf numFmtId="0" fontId="66" fillId="0" borderId="10" xfId="0" applyFont="1" applyBorder="1" applyAlignment="1">
      <alignment horizontal="center" vertical="center"/>
    </xf>
    <xf numFmtId="0" fontId="66" fillId="0" borderId="0" xfId="0" applyFont="1" applyAlignment="1">
      <alignment vertical="center"/>
    </xf>
    <xf numFmtId="44" fontId="66" fillId="0" borderId="0" xfId="0" applyNumberFormat="1" applyFont="1" applyAlignment="1">
      <alignment vertical="center"/>
    </xf>
    <xf numFmtId="0" fontId="67" fillId="8" borderId="0" xfId="0" applyFont="1" applyFill="1" applyAlignment="1">
      <alignment vertical="center"/>
    </xf>
    <xf numFmtId="0" fontId="62" fillId="0" borderId="0" xfId="0" applyFont="1" applyAlignment="1">
      <alignment horizontal="center" vertical="center"/>
    </xf>
    <xf numFmtId="0" fontId="67" fillId="8" borderId="10" xfId="0" applyFont="1" applyFill="1" applyBorder="1" applyAlignment="1">
      <alignment vertical="center"/>
    </xf>
    <xf numFmtId="44" fontId="68" fillId="0" borderId="0" xfId="0" applyNumberFormat="1" applyFont="1" applyAlignment="1">
      <alignment vertical="center"/>
    </xf>
    <xf numFmtId="0" fontId="69" fillId="0" borderId="19" xfId="0" applyFont="1" applyBorder="1"/>
    <xf numFmtId="0" fontId="9" fillId="0" borderId="20" xfId="0" applyFont="1" applyBorder="1"/>
    <xf numFmtId="0" fontId="9" fillId="0" borderId="21" xfId="0" applyFont="1" applyBorder="1"/>
    <xf numFmtId="0" fontId="70" fillId="0" borderId="24" xfId="0" applyFont="1" applyBorder="1" applyAlignment="1">
      <alignment vertical="center"/>
    </xf>
    <xf numFmtId="0" fontId="70" fillId="0" borderId="0" xfId="0" applyFont="1" applyAlignment="1">
      <alignment horizontal="center" vertical="center"/>
    </xf>
    <xf numFmtId="0" fontId="70" fillId="0" borderId="28" xfId="0" applyFont="1" applyBorder="1" applyAlignment="1">
      <alignment horizontal="center" vertical="center"/>
    </xf>
    <xf numFmtId="0" fontId="34" fillId="11" borderId="20" xfId="0" applyFont="1" applyFill="1" applyBorder="1" applyAlignment="1">
      <alignment horizontal="right" vertical="center"/>
    </xf>
    <xf numFmtId="0" fontId="34" fillId="11" borderId="20" xfId="0" applyFont="1" applyFill="1" applyBorder="1" applyAlignment="1">
      <alignment horizontal="right" vertical="center" wrapText="1"/>
    </xf>
    <xf numFmtId="0" fontId="34" fillId="11" borderId="20" xfId="0" applyFont="1" applyFill="1" applyBorder="1" applyAlignment="1">
      <alignment horizontal="center" vertical="center" wrapText="1"/>
    </xf>
    <xf numFmtId="0" fontId="34" fillId="0" borderId="25" xfId="0" applyFont="1" applyBorder="1" applyAlignment="1">
      <alignment vertical="center"/>
    </xf>
    <xf numFmtId="177" fontId="32" fillId="0" borderId="26" xfId="0" applyNumberFormat="1" applyFont="1" applyBorder="1" applyAlignment="1">
      <alignment vertical="center"/>
    </xf>
    <xf numFmtId="9" fontId="32" fillId="3" borderId="26" xfId="0" applyNumberFormat="1" applyFont="1" applyFill="1" applyBorder="1" applyAlignment="1">
      <alignment vertical="center"/>
    </xf>
    <xf numFmtId="177" fontId="34" fillId="0" borderId="26" xfId="0" applyNumberFormat="1" applyFont="1" applyBorder="1" applyAlignment="1">
      <alignment vertical="center"/>
    </xf>
    <xf numFmtId="0" fontId="32" fillId="11" borderId="7" xfId="0" applyFont="1" applyFill="1" applyBorder="1" applyAlignment="1">
      <alignment horizontal="center" vertical="center" wrapText="1"/>
    </xf>
    <xf numFmtId="0" fontId="32" fillId="11" borderId="0" xfId="0" applyFont="1" applyFill="1" applyAlignment="1">
      <alignment horizontal="center" vertical="center" wrapText="1"/>
    </xf>
    <xf numFmtId="0" fontId="71" fillId="0" borderId="0" xfId="0" applyFont="1"/>
    <xf numFmtId="0" fontId="32" fillId="11" borderId="5" xfId="0" applyFont="1" applyFill="1" applyBorder="1" applyAlignment="1">
      <alignment horizontal="left" vertical="center"/>
    </xf>
    <xf numFmtId="0" fontId="32" fillId="11" borderId="6" xfId="0" applyFont="1" applyFill="1" applyBorder="1" applyAlignment="1">
      <alignment horizontal="left" vertical="center"/>
    </xf>
    <xf numFmtId="0" fontId="34" fillId="11" borderId="0" xfId="0" applyFont="1" applyFill="1" applyAlignment="1">
      <alignment horizontal="center" vertical="center"/>
    </xf>
    <xf numFmtId="0" fontId="34" fillId="11" borderId="8" xfId="0" applyFont="1" applyFill="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4" fillId="0" borderId="0" xfId="0" applyFont="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1" xfId="0" applyFont="1" applyBorder="1" applyAlignment="1">
      <alignment horizontal="center" vertical="center" wrapText="1"/>
    </xf>
    <xf numFmtId="0" fontId="32" fillId="0" borderId="9" xfId="0" applyFont="1" applyBorder="1" applyAlignment="1">
      <alignment horizontal="center" vertical="center"/>
    </xf>
    <xf numFmtId="0" fontId="32" fillId="0" borderId="10" xfId="0" applyFont="1" applyBorder="1" applyAlignment="1">
      <alignment horizontal="center" vertical="center"/>
    </xf>
    <xf numFmtId="0" fontId="32" fillId="0" borderId="11" xfId="0" applyFont="1" applyBorder="1" applyAlignment="1">
      <alignment horizontal="center" vertical="center"/>
    </xf>
    <xf numFmtId="0" fontId="72" fillId="0" borderId="0" xfId="0" applyFont="1" applyAlignment="1">
      <alignment vertical="center"/>
    </xf>
    <xf numFmtId="44" fontId="37" fillId="0" borderId="10" xfId="0" applyNumberFormat="1" applyFont="1" applyBorder="1" applyAlignment="1">
      <alignment vertical="center"/>
    </xf>
    <xf numFmtId="0" fontId="32" fillId="9" borderId="5" xfId="0" applyFont="1" applyFill="1" applyBorder="1" applyAlignment="1">
      <alignment vertical="center"/>
    </xf>
    <xf numFmtId="0" fontId="32" fillId="9" borderId="6" xfId="0" applyFont="1" applyFill="1" applyBorder="1" applyAlignment="1">
      <alignment vertical="center"/>
    </xf>
    <xf numFmtId="0" fontId="32" fillId="9" borderId="10" xfId="0" applyFont="1" applyFill="1" applyBorder="1" applyAlignment="1">
      <alignment horizontal="right" vertical="center" wrapText="1"/>
    </xf>
    <xf numFmtId="0" fontId="34" fillId="9" borderId="11" xfId="0" applyFont="1" applyFill="1" applyBorder="1" applyAlignment="1">
      <alignment horizontal="left" vertical="center" wrapText="1"/>
    </xf>
    <xf numFmtId="0" fontId="73" fillId="0" borderId="0" xfId="0" applyFont="1" applyAlignment="1">
      <alignment vertical="center"/>
    </xf>
    <xf numFmtId="0" fontId="74" fillId="11" borderId="19" xfId="3" applyFont="1" applyFill="1" applyBorder="1" applyAlignment="1">
      <alignment vertical="center"/>
    </xf>
    <xf numFmtId="0" fontId="32" fillId="11" borderId="57" xfId="0" applyFont="1" applyFill="1" applyBorder="1" applyAlignment="1">
      <alignment horizontal="center" vertical="center" wrapText="1"/>
    </xf>
    <xf numFmtId="0" fontId="32" fillId="18" borderId="0" xfId="0" applyFont="1" applyFill="1" applyAlignment="1">
      <alignment vertical="center"/>
    </xf>
    <xf numFmtId="0" fontId="32" fillId="19" borderId="0" xfId="0" applyFont="1" applyFill="1" applyAlignment="1">
      <alignment vertical="center"/>
    </xf>
    <xf numFmtId="0" fontId="34" fillId="11" borderId="4" xfId="0" applyFont="1" applyFill="1" applyBorder="1" applyAlignment="1">
      <alignment horizontal="left" vertical="center"/>
    </xf>
    <xf numFmtId="44" fontId="75" fillId="0" borderId="0" xfId="0" applyNumberFormat="1" applyFont="1" applyAlignment="1">
      <alignment vertical="center"/>
    </xf>
    <xf numFmtId="44" fontId="3" fillId="0" borderId="0" xfId="0" applyNumberFormat="1" applyFont="1" applyAlignment="1">
      <alignment vertical="center"/>
    </xf>
    <xf numFmtId="44" fontId="4" fillId="0" borderId="0" xfId="0" applyNumberFormat="1" applyFont="1" applyAlignment="1">
      <alignment vertical="center"/>
    </xf>
    <xf numFmtId="44" fontId="32" fillId="0" borderId="67" xfId="0" applyNumberFormat="1" applyFont="1" applyBorder="1" applyAlignment="1">
      <alignment vertical="center"/>
    </xf>
    <xf numFmtId="44" fontId="32" fillId="0" borderId="68" xfId="0" applyNumberFormat="1" applyFont="1" applyBorder="1" applyAlignment="1">
      <alignment vertical="center"/>
    </xf>
    <xf numFmtId="44" fontId="34" fillId="0" borderId="69" xfId="0" applyNumberFormat="1" applyFont="1" applyBorder="1" applyAlignment="1">
      <alignment vertical="center"/>
    </xf>
    <xf numFmtId="44" fontId="34" fillId="0" borderId="71" xfId="0" applyNumberFormat="1" applyFont="1" applyBorder="1" applyAlignment="1">
      <alignment vertical="center"/>
    </xf>
    <xf numFmtId="44" fontId="34" fillId="0" borderId="70" xfId="0" applyNumberFormat="1" applyFont="1" applyBorder="1" applyAlignment="1">
      <alignment vertical="center"/>
    </xf>
    <xf numFmtId="44" fontId="32" fillId="0" borderId="64" xfId="0" applyNumberFormat="1" applyFont="1" applyBorder="1" applyAlignment="1">
      <alignment vertical="center"/>
    </xf>
    <xf numFmtId="44" fontId="32" fillId="0" borderId="65" xfId="0" applyNumberFormat="1" applyFont="1" applyBorder="1" applyAlignment="1">
      <alignment vertical="center"/>
    </xf>
    <xf numFmtId="44" fontId="32" fillId="0" borderId="66" xfId="0" applyNumberFormat="1" applyFont="1" applyBorder="1" applyAlignment="1">
      <alignment vertical="center"/>
    </xf>
    <xf numFmtId="44" fontId="32" fillId="0" borderId="69" xfId="0" applyNumberFormat="1" applyFont="1" applyBorder="1" applyAlignment="1">
      <alignment vertical="center"/>
    </xf>
    <xf numFmtId="44" fontId="32" fillId="0" borderId="71" xfId="0" applyNumberFormat="1" applyFont="1" applyBorder="1" applyAlignment="1">
      <alignment vertical="center"/>
    </xf>
    <xf numFmtId="44" fontId="32" fillId="0" borderId="70" xfId="0" applyNumberFormat="1" applyFont="1" applyBorder="1" applyAlignment="1">
      <alignment vertical="center"/>
    </xf>
    <xf numFmtId="0" fontId="32" fillId="16" borderId="65" xfId="0" applyFont="1" applyFill="1" applyBorder="1" applyAlignment="1">
      <alignment horizontal="center" vertical="center"/>
    </xf>
    <xf numFmtId="0" fontId="32" fillId="16" borderId="66" xfId="0" applyFont="1" applyFill="1" applyBorder="1" applyAlignment="1">
      <alignment horizontal="center" vertical="center"/>
    </xf>
    <xf numFmtId="0" fontId="32" fillId="16" borderId="67" xfId="0" applyFont="1" applyFill="1" applyBorder="1" applyAlignment="1">
      <alignment horizontal="center" vertical="center"/>
    </xf>
    <xf numFmtId="0" fontId="32" fillId="16" borderId="0" xfId="0" applyFont="1" applyFill="1" applyAlignment="1">
      <alignment horizontal="center" vertical="center"/>
    </xf>
    <xf numFmtId="0" fontId="32" fillId="16" borderId="68"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6"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1" xfId="0" applyFont="1" applyFill="1" applyBorder="1" applyAlignment="1">
      <alignment horizontal="center" vertical="center"/>
    </xf>
    <xf numFmtId="0" fontId="34" fillId="16" borderId="4" xfId="0" applyFont="1" applyFill="1" applyBorder="1" applyAlignment="1">
      <alignment vertical="center"/>
    </xf>
    <xf numFmtId="0" fontId="34" fillId="16" borderId="5" xfId="0" applyFont="1" applyFill="1" applyBorder="1" applyAlignment="1">
      <alignment vertical="center"/>
    </xf>
    <xf numFmtId="0" fontId="34" fillId="16" borderId="6" xfId="0" applyFont="1" applyFill="1" applyBorder="1" applyAlignment="1">
      <alignment vertical="center"/>
    </xf>
    <xf numFmtId="0" fontId="34" fillId="16" borderId="64" xfId="0" applyFont="1" applyFill="1" applyBorder="1" applyAlignment="1">
      <alignment horizontal="left" vertical="center"/>
    </xf>
    <xf numFmtId="0" fontId="77" fillId="0" borderId="0" xfId="0" applyFont="1"/>
    <xf numFmtId="0" fontId="78" fillId="0" borderId="0" xfId="0" applyFont="1" applyAlignment="1">
      <alignment vertical="center"/>
    </xf>
    <xf numFmtId="0" fontId="79" fillId="0" borderId="0" xfId="0" applyFont="1"/>
    <xf numFmtId="0" fontId="75" fillId="0" borderId="0" xfId="0" applyFont="1" applyAlignment="1">
      <alignment vertical="center"/>
    </xf>
    <xf numFmtId="6" fontId="4" fillId="0" borderId="0" xfId="0" applyNumberFormat="1" applyFont="1"/>
    <xf numFmtId="9" fontId="3" fillId="0" borderId="0" xfId="0" applyNumberFormat="1" applyFont="1" applyAlignment="1">
      <alignment vertical="center"/>
    </xf>
    <xf numFmtId="0" fontId="31" fillId="0" borderId="26" xfId="0" applyFont="1" applyBorder="1" applyAlignment="1">
      <alignment horizontal="center" vertical="center"/>
    </xf>
    <xf numFmtId="14" fontId="75" fillId="0" borderId="0" xfId="0" applyNumberFormat="1" applyFont="1" applyAlignment="1">
      <alignment vertical="center"/>
    </xf>
    <xf numFmtId="0" fontId="35" fillId="0" borderId="24" xfId="0" applyFont="1" applyBorder="1" applyAlignment="1">
      <alignment vertical="center"/>
    </xf>
    <xf numFmtId="168" fontId="35" fillId="0" borderId="0" xfId="0" applyNumberFormat="1" applyFont="1" applyAlignment="1">
      <alignment horizontal="center" vertical="center"/>
    </xf>
    <xf numFmtId="3" fontId="35" fillId="0" borderId="0" xfId="0" applyNumberFormat="1" applyFont="1" applyAlignment="1">
      <alignment vertical="center"/>
    </xf>
    <xf numFmtId="177" fontId="35" fillId="0" borderId="0" xfId="0" applyNumberFormat="1" applyFont="1" applyAlignment="1">
      <alignment vertical="center"/>
    </xf>
    <xf numFmtId="177" fontId="35" fillId="0" borderId="28" xfId="0" applyNumberFormat="1" applyFont="1" applyBorder="1" applyAlignment="1">
      <alignment vertical="center"/>
    </xf>
    <xf numFmtId="44" fontId="35" fillId="0" borderId="0" xfId="0" applyNumberFormat="1" applyFont="1" applyAlignment="1">
      <alignment vertical="center"/>
    </xf>
    <xf numFmtId="44" fontId="35" fillId="0" borderId="28" xfId="0" applyNumberFormat="1" applyFont="1" applyBorder="1" applyAlignment="1">
      <alignment vertical="center"/>
    </xf>
    <xf numFmtId="168" fontId="35" fillId="0" borderId="0" xfId="0" applyNumberFormat="1" applyFont="1" applyAlignment="1">
      <alignment vertical="center" wrapText="1"/>
    </xf>
    <xf numFmtId="3" fontId="80" fillId="0" borderId="0" xfId="0" applyNumberFormat="1" applyFont="1" applyAlignment="1">
      <alignment vertical="center"/>
    </xf>
    <xf numFmtId="44" fontId="80" fillId="0" borderId="0" xfId="0" applyNumberFormat="1" applyFont="1" applyAlignment="1">
      <alignment vertical="center"/>
    </xf>
    <xf numFmtId="44" fontId="80" fillId="0" borderId="28" xfId="0" applyNumberFormat="1" applyFont="1" applyBorder="1" applyAlignment="1">
      <alignment vertical="center"/>
    </xf>
    <xf numFmtId="3" fontId="35" fillId="0" borderId="0" xfId="0" applyNumberFormat="1" applyFont="1" applyAlignment="1">
      <alignment vertical="center" wrapText="1"/>
    </xf>
    <xf numFmtId="169" fontId="80" fillId="0" borderId="0" xfId="0" applyNumberFormat="1" applyFont="1" applyAlignment="1">
      <alignment vertical="center" wrapText="1"/>
    </xf>
    <xf numFmtId="8" fontId="80" fillId="0" borderId="28" xfId="0" applyNumberFormat="1" applyFont="1" applyBorder="1" applyAlignment="1">
      <alignment vertical="center" wrapText="1"/>
    </xf>
    <xf numFmtId="0" fontId="81" fillId="0" borderId="0" xfId="0" applyFont="1" applyAlignment="1">
      <alignment vertical="center" wrapText="1"/>
    </xf>
    <xf numFmtId="0" fontId="82" fillId="0" borderId="0" xfId="0" applyFont="1" applyAlignment="1">
      <alignment horizontal="left" vertical="center" wrapText="1"/>
    </xf>
    <xf numFmtId="0" fontId="82" fillId="0" borderId="0" xfId="0" applyFont="1" applyAlignment="1">
      <alignment vertical="center" wrapText="1"/>
    </xf>
    <xf numFmtId="0" fontId="82" fillId="0" borderId="0" xfId="0" applyFont="1" applyAlignment="1">
      <alignment vertical="center"/>
    </xf>
    <xf numFmtId="0" fontId="83" fillId="0" borderId="14" xfId="3" applyFont="1" applyBorder="1" applyAlignment="1">
      <alignment horizontal="center" vertical="center" wrapText="1"/>
    </xf>
    <xf numFmtId="177" fontId="32" fillId="17" borderId="10" xfId="0" applyNumberFormat="1" applyFont="1" applyFill="1" applyBorder="1" applyAlignment="1">
      <alignment vertical="center"/>
    </xf>
    <xf numFmtId="0" fontId="28" fillId="10" borderId="19" xfId="0" applyFont="1" applyFill="1" applyBorder="1"/>
    <xf numFmtId="0" fontId="28" fillId="10" borderId="20" xfId="0" applyFont="1" applyFill="1" applyBorder="1"/>
    <xf numFmtId="0" fontId="28" fillId="10" borderId="21" xfId="0" applyFont="1" applyFill="1" applyBorder="1"/>
    <xf numFmtId="0" fontId="28" fillId="10" borderId="25" xfId="0" applyFont="1" applyFill="1" applyBorder="1"/>
    <xf numFmtId="0" fontId="28" fillId="10" borderId="26" xfId="0" applyFont="1" applyFill="1" applyBorder="1"/>
    <xf numFmtId="0" fontId="28" fillId="10" borderId="27" xfId="0" applyFont="1" applyFill="1" applyBorder="1"/>
    <xf numFmtId="0" fontId="21" fillId="0" borderId="12" xfId="0" applyFont="1" applyBorder="1" applyAlignment="1">
      <alignment vertical="center"/>
    </xf>
    <xf numFmtId="0" fontId="43" fillId="0" borderId="5" xfId="0" applyFont="1" applyBorder="1" applyAlignment="1">
      <alignment horizontal="left" vertical="center"/>
    </xf>
    <xf numFmtId="0" fontId="84" fillId="0" borderId="0" xfId="0" applyFont="1" applyAlignment="1">
      <alignment vertical="center"/>
    </xf>
    <xf numFmtId="41" fontId="19" fillId="0" borderId="0" xfId="0" applyNumberFormat="1" applyFont="1"/>
    <xf numFmtId="0" fontId="20" fillId="0" borderId="0" xfId="0" applyFont="1" applyAlignment="1">
      <alignment horizontal="left" vertical="center"/>
    </xf>
    <xf numFmtId="0" fontId="0" fillId="0" borderId="7" xfId="0" applyBorder="1" applyAlignment="1">
      <alignment vertical="center"/>
    </xf>
    <xf numFmtId="0" fontId="32" fillId="0" borderId="4" xfId="0" applyFont="1" applyBorder="1" applyAlignment="1">
      <alignment horizontal="left" vertical="center" wrapText="1"/>
    </xf>
    <xf numFmtId="0" fontId="32" fillId="0" borderId="6" xfId="0" applyFont="1" applyBorder="1" applyAlignment="1">
      <alignment vertical="center"/>
    </xf>
    <xf numFmtId="0" fontId="32" fillId="0" borderId="9" xfId="0" applyFont="1" applyBorder="1" applyAlignment="1">
      <alignment horizontal="left" vertical="center" wrapText="1"/>
    </xf>
    <xf numFmtId="0" fontId="43" fillId="0" borderId="10" xfId="0" applyFont="1" applyBorder="1" applyAlignment="1">
      <alignment horizontal="left" vertical="center"/>
    </xf>
    <xf numFmtId="0" fontId="87" fillId="0" borderId="11" xfId="3" applyFont="1" applyBorder="1" applyAlignment="1">
      <alignment vertical="center" wrapText="1"/>
    </xf>
    <xf numFmtId="44" fontId="36" fillId="9" borderId="5" xfId="4" applyNumberFormat="1" applyFont="1" applyFill="1" applyBorder="1" applyAlignment="1">
      <alignment vertical="center"/>
    </xf>
    <xf numFmtId="44" fontId="36" fillId="9" borderId="10" xfId="4" applyNumberFormat="1" applyFont="1" applyFill="1" applyBorder="1" applyAlignment="1">
      <alignment vertical="center"/>
    </xf>
    <xf numFmtId="0" fontId="89" fillId="0" borderId="0" xfId="0" applyFont="1" applyAlignment="1">
      <alignment vertical="center"/>
    </xf>
    <xf numFmtId="0" fontId="3" fillId="0" borderId="21" xfId="0" applyFont="1" applyBorder="1" applyAlignment="1">
      <alignment horizontal="right"/>
    </xf>
    <xf numFmtId="0" fontId="52" fillId="12" borderId="40" xfId="0" applyFont="1" applyFill="1" applyBorder="1" applyAlignment="1">
      <alignment vertical="center" readingOrder="1"/>
    </xf>
    <xf numFmtId="0" fontId="47" fillId="20" borderId="33" xfId="0" applyFont="1" applyFill="1" applyBorder="1" applyAlignment="1">
      <alignment vertical="top"/>
    </xf>
    <xf numFmtId="0" fontId="47" fillId="20" borderId="34" xfId="0" applyFont="1" applyFill="1" applyBorder="1" applyAlignment="1">
      <alignment vertical="top"/>
    </xf>
    <xf numFmtId="0" fontId="47" fillId="0" borderId="33" xfId="0" applyFont="1" applyBorder="1" applyAlignment="1">
      <alignment vertical="top"/>
    </xf>
    <xf numFmtId="0" fontId="47" fillId="0" borderId="34" xfId="0" applyFont="1" applyBorder="1" applyAlignment="1">
      <alignment vertical="top"/>
    </xf>
    <xf numFmtId="0" fontId="52" fillId="21" borderId="40" xfId="0" applyFont="1" applyFill="1" applyBorder="1" applyAlignment="1">
      <alignment vertical="center" readingOrder="1"/>
    </xf>
    <xf numFmtId="0" fontId="53" fillId="0" borderId="32" xfId="0" applyFont="1" applyBorder="1" applyAlignment="1">
      <alignment vertical="center" readingOrder="1"/>
    </xf>
    <xf numFmtId="0" fontId="48" fillId="21" borderId="40" xfId="0" applyFont="1" applyFill="1" applyBorder="1" applyAlignment="1">
      <alignment vertical="center" readingOrder="1"/>
    </xf>
    <xf numFmtId="0" fontId="53" fillId="0" borderId="51" xfId="0" applyFont="1" applyBorder="1" applyAlignment="1">
      <alignment vertical="center" readingOrder="1"/>
    </xf>
    <xf numFmtId="0" fontId="47" fillId="0" borderId="51" xfId="0" applyFont="1" applyBorder="1" applyAlignment="1">
      <alignment vertical="top"/>
    </xf>
    <xf numFmtId="0" fontId="76" fillId="11" borderId="25" xfId="3" applyFont="1" applyFill="1" applyBorder="1" applyAlignment="1">
      <alignment horizontal="left" vertical="top" wrapText="1"/>
    </xf>
    <xf numFmtId="0" fontId="76" fillId="11" borderId="26" xfId="3" applyFont="1" applyFill="1" applyBorder="1" applyAlignment="1">
      <alignment horizontal="left" vertical="top" wrapText="1"/>
    </xf>
    <xf numFmtId="0" fontId="76" fillId="11" borderId="27" xfId="3" applyFont="1" applyFill="1" applyBorder="1" applyAlignment="1">
      <alignment horizontal="left" vertical="top" wrapText="1"/>
    </xf>
    <xf numFmtId="0" fontId="34" fillId="9" borderId="61" xfId="0" applyFont="1" applyFill="1" applyBorder="1" applyAlignment="1">
      <alignment horizontal="left" vertical="center" wrapText="1"/>
    </xf>
    <xf numFmtId="0" fontId="34" fillId="9" borderId="62" xfId="0" applyFont="1" applyFill="1" applyBorder="1" applyAlignment="1">
      <alignment horizontal="left" vertical="center" wrapText="1"/>
    </xf>
    <xf numFmtId="0" fontId="34" fillId="9" borderId="63" xfId="0" applyFont="1" applyFill="1" applyBorder="1" applyAlignment="1">
      <alignment horizontal="left" vertical="center" wrapText="1"/>
    </xf>
    <xf numFmtId="0" fontId="35" fillId="0" borderId="24" xfId="0" applyFont="1" applyBorder="1" applyAlignment="1">
      <alignment horizontal="left" vertical="center" wrapText="1"/>
    </xf>
    <xf numFmtId="0" fontId="35" fillId="0" borderId="0" xfId="0" applyFont="1" applyAlignment="1">
      <alignment horizontal="left" vertical="center" wrapText="1"/>
    </xf>
    <xf numFmtId="0" fontId="35" fillId="0" borderId="28" xfId="0" applyFont="1" applyBorder="1" applyAlignment="1">
      <alignment horizontal="left" vertical="center" wrapText="1"/>
    </xf>
    <xf numFmtId="0" fontId="35" fillId="0" borderId="25" xfId="0" applyFont="1" applyBorder="1" applyAlignment="1">
      <alignment horizontal="left" vertical="center" wrapText="1"/>
    </xf>
    <xf numFmtId="0" fontId="35" fillId="0" borderId="26" xfId="0" applyFont="1" applyBorder="1" applyAlignment="1">
      <alignment horizontal="left" vertical="center" wrapText="1"/>
    </xf>
    <xf numFmtId="0" fontId="35" fillId="0" borderId="27" xfId="0" applyFont="1" applyBorder="1" applyAlignment="1">
      <alignment horizontal="left" vertical="center" wrapText="1"/>
    </xf>
    <xf numFmtId="0" fontId="45" fillId="14" borderId="17" xfId="0" applyFont="1" applyFill="1" applyBorder="1" applyAlignment="1">
      <alignment horizontal="left" vertical="center" wrapText="1"/>
    </xf>
    <xf numFmtId="0" fontId="45" fillId="14" borderId="22" xfId="0" applyFont="1" applyFill="1" applyBorder="1" applyAlignment="1">
      <alignment horizontal="left" vertical="center" wrapText="1"/>
    </xf>
    <xf numFmtId="0" fontId="45" fillId="14" borderId="18" xfId="0" applyFont="1" applyFill="1" applyBorder="1" applyAlignment="1">
      <alignment horizontal="left" vertical="center" wrapText="1"/>
    </xf>
    <xf numFmtId="0" fontId="34" fillId="11" borderId="19" xfId="0" applyFont="1" applyFill="1" applyBorder="1" applyAlignment="1">
      <alignment horizontal="left" vertical="center" wrapText="1"/>
    </xf>
    <xf numFmtId="0" fontId="34" fillId="11" borderId="20" xfId="0" applyFont="1" applyFill="1" applyBorder="1" applyAlignment="1">
      <alignment horizontal="left" vertical="center" wrapText="1"/>
    </xf>
    <xf numFmtId="0" fontId="88" fillId="0" borderId="12" xfId="0" applyFont="1" applyBorder="1" applyAlignment="1">
      <alignment horizontal="left" wrapText="1"/>
    </xf>
    <xf numFmtId="0" fontId="88" fillId="0" borderId="13" xfId="0" applyFont="1" applyBorder="1" applyAlignment="1">
      <alignment horizontal="left" wrapText="1"/>
    </xf>
    <xf numFmtId="0" fontId="88" fillId="0" borderId="14" xfId="0" applyFont="1" applyBorder="1" applyAlignment="1">
      <alignment horizontal="left" wrapText="1"/>
    </xf>
    <xf numFmtId="0" fontId="8" fillId="2" borderId="61" xfId="0" applyFont="1" applyFill="1" applyBorder="1" applyAlignment="1">
      <alignment horizontal="left" vertical="center" wrapText="1"/>
    </xf>
    <xf numFmtId="0" fontId="8" fillId="2" borderId="62" xfId="0" applyFont="1" applyFill="1" applyBorder="1" applyAlignment="1">
      <alignment horizontal="left" vertical="center" wrapText="1"/>
    </xf>
    <xf numFmtId="0" fontId="8" fillId="2" borderId="63" xfId="0" applyFont="1" applyFill="1" applyBorder="1" applyAlignment="1">
      <alignment horizontal="left" vertical="center" wrapText="1"/>
    </xf>
    <xf numFmtId="0" fontId="86" fillId="0" borderId="6" xfId="0" applyFont="1" applyBorder="1" applyAlignment="1">
      <alignment horizontal="right" vertical="center" wrapText="1"/>
    </xf>
    <xf numFmtId="0" fontId="86" fillId="0" borderId="8" xfId="0" applyFont="1" applyBorder="1" applyAlignment="1">
      <alignment horizontal="right" vertical="center" wrapText="1"/>
    </xf>
    <xf numFmtId="0" fontId="31" fillId="0" borderId="0" xfId="0" applyFont="1" applyAlignment="1">
      <alignment horizontal="left" vertical="top" wrapText="1"/>
    </xf>
    <xf numFmtId="0" fontId="31" fillId="0" borderId="26" xfId="0" applyFont="1" applyBorder="1" applyAlignment="1">
      <alignment horizontal="left" vertical="top" wrapText="1"/>
    </xf>
    <xf numFmtId="0" fontId="32" fillId="0" borderId="12" xfId="0" applyFont="1" applyBorder="1" applyAlignment="1">
      <alignment horizontal="left" vertical="center" wrapText="1"/>
    </xf>
    <xf numFmtId="0" fontId="32" fillId="0" borderId="13" xfId="0" applyFont="1" applyBorder="1" applyAlignment="1">
      <alignment horizontal="left" vertical="center" wrapText="1"/>
    </xf>
    <xf numFmtId="0" fontId="32" fillId="0" borderId="14" xfId="0" applyFont="1" applyBorder="1" applyAlignment="1">
      <alignment horizontal="left" vertical="center" wrapText="1"/>
    </xf>
    <xf numFmtId="0" fontId="34" fillId="16" borderId="4" xfId="0" applyFont="1" applyFill="1" applyBorder="1" applyAlignment="1">
      <alignment horizontal="left" vertical="center" wrapText="1"/>
    </xf>
    <xf numFmtId="0" fontId="34" fillId="16" borderId="5" xfId="0" applyFont="1" applyFill="1" applyBorder="1" applyAlignment="1">
      <alignment horizontal="left" vertical="center" wrapText="1"/>
    </xf>
    <xf numFmtId="0" fontId="34" fillId="11" borderId="4" xfId="0" applyFont="1" applyFill="1" applyBorder="1" applyAlignment="1">
      <alignment horizontal="center" vertical="center"/>
    </xf>
    <xf numFmtId="0" fontId="34" fillId="11" borderId="5" xfId="0" applyFont="1" applyFill="1" applyBorder="1" applyAlignment="1">
      <alignment horizontal="center" vertical="center"/>
    </xf>
    <xf numFmtId="0" fontId="34" fillId="11" borderId="6" xfId="0" applyFont="1" applyFill="1" applyBorder="1" applyAlignment="1">
      <alignment horizontal="center" vertical="center"/>
    </xf>
    <xf numFmtId="0" fontId="31" fillId="0" borderId="4" xfId="0" applyFont="1" applyBorder="1" applyAlignment="1">
      <alignment horizontal="left" vertical="center" wrapText="1"/>
    </xf>
    <xf numFmtId="0" fontId="31" fillId="0" borderId="5" xfId="0" applyFont="1" applyBorder="1" applyAlignment="1">
      <alignment horizontal="left" vertical="center" wrapText="1"/>
    </xf>
    <xf numFmtId="0" fontId="31" fillId="0" borderId="6" xfId="0" applyFont="1" applyBorder="1" applyAlignment="1">
      <alignment horizontal="left" vertical="center" wrapText="1"/>
    </xf>
    <xf numFmtId="0" fontId="31" fillId="0" borderId="9" xfId="0" applyFont="1" applyBorder="1" applyAlignment="1">
      <alignment horizontal="right" vertical="center" wrapText="1"/>
    </xf>
    <xf numFmtId="0" fontId="31" fillId="0" borderId="10" xfId="0" applyFont="1" applyBorder="1" applyAlignment="1">
      <alignment horizontal="right" vertical="center" wrapText="1"/>
    </xf>
    <xf numFmtId="0" fontId="3" fillId="0" borderId="3" xfId="0" applyFont="1" applyBorder="1" applyAlignment="1">
      <alignment horizontal="left" vertical="center" wrapText="1"/>
    </xf>
    <xf numFmtId="169" fontId="3" fillId="0" borderId="3" xfId="0" applyNumberFormat="1" applyFont="1" applyBorder="1" applyAlignment="1">
      <alignment horizontal="left" vertical="center"/>
    </xf>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0" borderId="28"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3" fontId="3" fillId="0" borderId="3" xfId="0" applyNumberFormat="1" applyFont="1" applyBorder="1" applyAlignment="1">
      <alignment horizontal="left" vertical="center"/>
    </xf>
    <xf numFmtId="0" fontId="9" fillId="0" borderId="24" xfId="0" applyFont="1" applyBorder="1" applyAlignment="1">
      <alignment horizontal="left" vertical="center" wrapText="1"/>
    </xf>
    <xf numFmtId="0" fontId="9" fillId="0" borderId="0" xfId="0" applyFont="1" applyAlignment="1">
      <alignment horizontal="left" vertical="center" wrapText="1"/>
    </xf>
    <xf numFmtId="0" fontId="9" fillId="0" borderId="28" xfId="0" applyFont="1" applyBorder="1" applyAlignment="1">
      <alignment horizontal="left" vertical="center" wrapText="1"/>
    </xf>
    <xf numFmtId="0" fontId="3" fillId="0" borderId="3" xfId="0" applyFont="1" applyBorder="1" applyAlignment="1">
      <alignment horizontal="left" vertical="center"/>
    </xf>
    <xf numFmtId="3" fontId="9" fillId="0" borderId="3" xfId="0" applyNumberFormat="1" applyFont="1" applyBorder="1" applyAlignment="1">
      <alignment horizontal="left" vertical="center" wrapText="1"/>
    </xf>
    <xf numFmtId="0" fontId="2" fillId="2" borderId="1" xfId="0" applyFont="1" applyFill="1" applyBorder="1" applyAlignment="1">
      <alignment horizontal="center" vertical="center"/>
    </xf>
    <xf numFmtId="0" fontId="2" fillId="2" borderId="29" xfId="0" applyFont="1" applyFill="1" applyBorder="1" applyAlignment="1">
      <alignment horizontal="center" vertical="center"/>
    </xf>
    <xf numFmtId="0" fontId="3" fillId="0" borderId="24" xfId="0" applyFont="1" applyBorder="1" applyAlignment="1">
      <alignment horizontal="left" vertical="center"/>
    </xf>
    <xf numFmtId="0" fontId="3" fillId="0" borderId="0" xfId="0" applyFont="1" applyAlignment="1">
      <alignment horizontal="left" vertical="center"/>
    </xf>
    <xf numFmtId="0" fontId="3" fillId="0" borderId="28" xfId="0" applyFont="1" applyBorder="1" applyAlignment="1">
      <alignment horizontal="left" vertical="center"/>
    </xf>
    <xf numFmtId="0" fontId="8" fillId="2" borderId="17" xfId="0" applyFont="1" applyFill="1" applyBorder="1" applyAlignment="1">
      <alignment horizontal="left" vertical="center"/>
    </xf>
    <xf numFmtId="0" fontId="8" fillId="2" borderId="22" xfId="0" applyFont="1" applyFill="1" applyBorder="1" applyAlignment="1">
      <alignment horizontal="left" vertical="center"/>
    </xf>
    <xf numFmtId="0" fontId="8" fillId="2" borderId="18" xfId="0" applyFont="1" applyFill="1" applyBorder="1" applyAlignment="1">
      <alignment horizontal="left" vertical="center"/>
    </xf>
    <xf numFmtId="0" fontId="16" fillId="0" borderId="0" xfId="0" applyFont="1" applyAlignment="1">
      <alignment horizontal="left" vertical="center" wrapText="1"/>
    </xf>
    <xf numFmtId="41" fontId="28" fillId="2" borderId="17" xfId="0" applyNumberFormat="1" applyFont="1" applyFill="1" applyBorder="1" applyAlignment="1">
      <alignment horizontal="center" vertical="center" wrapText="1"/>
    </xf>
    <xf numFmtId="41" fontId="28" fillId="2" borderId="18" xfId="0" applyNumberFormat="1" applyFont="1" applyFill="1" applyBorder="1" applyAlignment="1">
      <alignment horizontal="center" vertical="center" wrapText="1"/>
    </xf>
    <xf numFmtId="44" fontId="28" fillId="2" borderId="17" xfId="0" applyNumberFormat="1" applyFont="1" applyFill="1" applyBorder="1" applyAlignment="1">
      <alignment horizontal="center" vertical="center" wrapText="1"/>
    </xf>
    <xf numFmtId="44" fontId="28" fillId="2" borderId="18" xfId="0" applyNumberFormat="1" applyFont="1" applyFill="1" applyBorder="1" applyAlignment="1">
      <alignment horizontal="center" vertical="center" wrapText="1"/>
    </xf>
    <xf numFmtId="0" fontId="25" fillId="0" borderId="18" xfId="0" applyFont="1" applyBorder="1" applyAlignment="1">
      <alignment horizontal="center" vertical="center" wrapText="1"/>
    </xf>
    <xf numFmtId="0" fontId="25" fillId="6" borderId="22" xfId="0" applyFont="1" applyFill="1" applyBorder="1" applyAlignment="1">
      <alignment horizontal="center" vertical="center" wrapText="1"/>
    </xf>
    <xf numFmtId="0" fontId="25" fillId="6" borderId="18" xfId="0" applyFont="1" applyFill="1" applyBorder="1" applyAlignment="1">
      <alignment horizontal="center" vertical="center" wrapText="1"/>
    </xf>
    <xf numFmtId="0" fontId="28" fillId="2" borderId="15" xfId="0" applyFont="1" applyFill="1" applyBorder="1" applyAlignment="1">
      <alignment horizontal="center" vertical="center" wrapText="1"/>
    </xf>
    <xf numFmtId="14" fontId="28" fillId="2" borderId="15" xfId="0" applyNumberFormat="1" applyFont="1" applyFill="1" applyBorder="1" applyAlignment="1">
      <alignment horizontal="center" vertical="center"/>
    </xf>
    <xf numFmtId="14" fontId="28" fillId="2" borderId="15" xfId="0" applyNumberFormat="1" applyFont="1" applyFill="1" applyBorder="1" applyAlignment="1">
      <alignment horizontal="center" vertical="center" wrapText="1"/>
    </xf>
    <xf numFmtId="0" fontId="27" fillId="2" borderId="16" xfId="0" applyFont="1" applyFill="1" applyBorder="1" applyAlignment="1">
      <alignment horizontal="center" vertical="center" wrapText="1"/>
    </xf>
    <xf numFmtId="0" fontId="27" fillId="2" borderId="23"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0" fontId="27" fillId="2" borderId="15" xfId="0" applyFont="1" applyFill="1" applyBorder="1" applyAlignment="1">
      <alignment horizontal="center" vertical="center" wrapText="1"/>
    </xf>
    <xf numFmtId="14" fontId="27" fillId="2" borderId="15" xfId="0" applyNumberFormat="1" applyFont="1" applyFill="1" applyBorder="1" applyAlignment="1">
      <alignment horizontal="center" vertical="center"/>
    </xf>
    <xf numFmtId="0" fontId="8" fillId="2" borderId="25"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47" fillId="0" borderId="0" xfId="0" applyFont="1" applyAlignment="1"/>
    <xf numFmtId="0" fontId="52" fillId="0" borderId="0" xfId="0" applyFont="1" applyAlignment="1">
      <alignment horizontal="left" vertical="center" readingOrder="1"/>
    </xf>
    <xf numFmtId="0" fontId="53" fillId="0" borderId="0" xfId="0" applyFont="1" applyAlignment="1">
      <alignment horizontal="left" vertical="center" readingOrder="1"/>
    </xf>
    <xf numFmtId="0" fontId="53" fillId="0" borderId="0" xfId="0" applyFont="1" applyAlignment="1">
      <alignment horizontal="center" vertical="center" readingOrder="1"/>
    </xf>
    <xf numFmtId="0" fontId="53" fillId="12" borderId="40" xfId="0" applyFont="1" applyFill="1" applyBorder="1" applyAlignment="1">
      <alignment horizontal="center" vertical="center" readingOrder="1"/>
    </xf>
    <xf numFmtId="0" fontId="53" fillId="12" borderId="33" xfId="0" applyFont="1" applyFill="1" applyBorder="1" applyAlignment="1">
      <alignment horizontal="center" vertical="center" readingOrder="1"/>
    </xf>
    <xf numFmtId="0" fontId="48" fillId="12" borderId="33" xfId="0" applyFont="1" applyFill="1" applyBorder="1" applyAlignment="1">
      <alignment horizontal="center" vertical="center" readingOrder="1"/>
    </xf>
    <xf numFmtId="0" fontId="53" fillId="12" borderId="34" xfId="0" applyFont="1" applyFill="1" applyBorder="1" applyAlignment="1">
      <alignment horizontal="center" vertical="center" readingOrder="1"/>
    </xf>
    <xf numFmtId="0" fontId="54" fillId="0" borderId="37" xfId="0" applyFont="1" applyBorder="1" applyAlignment="1">
      <alignment vertical="center" readingOrder="1"/>
    </xf>
    <xf numFmtId="180" fontId="54" fillId="0" borderId="37" xfId="0" applyNumberFormat="1" applyFont="1" applyBorder="1" applyAlignment="1">
      <alignment horizontal="left" vertical="center" readingOrder="1"/>
    </xf>
    <xf numFmtId="170" fontId="54" fillId="0" borderId="37" xfId="0" applyNumberFormat="1" applyFont="1" applyBorder="1" applyAlignment="1">
      <alignment vertical="center" readingOrder="1"/>
    </xf>
    <xf numFmtId="181" fontId="54" fillId="0" borderId="37" xfId="0" applyNumberFormat="1" applyFont="1" applyBorder="1" applyAlignment="1">
      <alignment vertical="center" readingOrder="1"/>
    </xf>
    <xf numFmtId="171" fontId="54" fillId="0" borderId="37" xfId="0" applyNumberFormat="1" applyFont="1" applyBorder="1" applyAlignment="1">
      <alignment vertical="center" readingOrder="1"/>
    </xf>
    <xf numFmtId="182" fontId="54" fillId="0" borderId="37" xfId="0" applyNumberFormat="1" applyFont="1" applyBorder="1" applyAlignment="1">
      <alignment vertical="center" readingOrder="1"/>
    </xf>
    <xf numFmtId="0" fontId="55" fillId="0" borderId="37" xfId="0" applyFont="1" applyBorder="1" applyAlignment="1">
      <alignment vertical="center" readingOrder="1"/>
    </xf>
    <xf numFmtId="0" fontId="54" fillId="0" borderId="37" xfId="0" applyFont="1" applyBorder="1" applyAlignment="1">
      <alignment horizontal="left" vertical="center" readingOrder="1"/>
    </xf>
    <xf numFmtId="0" fontId="55" fillId="0" borderId="36" xfId="0" applyFont="1" applyBorder="1" applyAlignment="1">
      <alignment vertical="center" readingOrder="1"/>
    </xf>
    <xf numFmtId="0" fontId="53" fillId="0" borderId="37" xfId="0" applyFont="1" applyBorder="1" applyAlignment="1">
      <alignment vertical="center" readingOrder="1"/>
    </xf>
    <xf numFmtId="0" fontId="54" fillId="0" borderId="35" xfId="0" applyFont="1" applyBorder="1" applyAlignment="1">
      <alignment vertical="center" readingOrder="1"/>
    </xf>
    <xf numFmtId="0" fontId="52" fillId="0" borderId="36" xfId="0" applyFont="1" applyBorder="1" applyAlignment="1">
      <alignment horizontal="center" vertical="center" readingOrder="1"/>
    </xf>
    <xf numFmtId="0" fontId="52" fillId="0" borderId="37" xfId="0" applyFont="1" applyBorder="1" applyAlignment="1">
      <alignment horizontal="center" vertical="center" readingOrder="1"/>
    </xf>
    <xf numFmtId="0" fontId="53" fillId="0" borderId="37" xfId="0" applyFont="1" applyBorder="1" applyAlignment="1">
      <alignment horizontal="center" vertical="center" readingOrder="1"/>
    </xf>
    <xf numFmtId="0" fontId="53" fillId="0" borderId="37" xfId="0" applyFont="1" applyBorder="1" applyAlignment="1">
      <alignment horizontal="left" vertical="center" readingOrder="1"/>
    </xf>
    <xf numFmtId="0" fontId="53" fillId="12" borderId="32" xfId="0" applyFont="1" applyFill="1" applyBorder="1" applyAlignment="1">
      <alignment horizontal="center" vertical="center" readingOrder="1"/>
    </xf>
    <xf numFmtId="0" fontId="54" fillId="0" borderId="72" xfId="0" applyFont="1" applyBorder="1" applyAlignment="1">
      <alignment vertical="center" readingOrder="1"/>
    </xf>
    <xf numFmtId="0" fontId="54" fillId="0" borderId="73" xfId="0" applyFont="1" applyBorder="1" applyAlignment="1">
      <alignment vertical="center" readingOrder="1"/>
    </xf>
    <xf numFmtId="180" fontId="54" fillId="0" borderId="73" xfId="0" applyNumberFormat="1" applyFont="1" applyBorder="1" applyAlignment="1">
      <alignment horizontal="left" vertical="center" readingOrder="1"/>
    </xf>
    <xf numFmtId="170" fontId="54" fillId="0" borderId="73" xfId="0" applyNumberFormat="1" applyFont="1" applyBorder="1" applyAlignment="1">
      <alignment vertical="center" readingOrder="1"/>
    </xf>
    <xf numFmtId="181" fontId="54" fillId="0" borderId="73" xfId="0" applyNumberFormat="1" applyFont="1" applyBorder="1" applyAlignment="1">
      <alignment vertical="center" readingOrder="1"/>
    </xf>
    <xf numFmtId="0" fontId="54" fillId="17" borderId="0" xfId="0" applyFont="1" applyFill="1" applyBorder="1" applyAlignment="1">
      <alignment vertical="center" readingOrder="1"/>
    </xf>
    <xf numFmtId="180" fontId="54" fillId="17" borderId="0" xfId="0" applyNumberFormat="1" applyFont="1" applyFill="1" applyBorder="1" applyAlignment="1">
      <alignment horizontal="left" vertical="center" readingOrder="1"/>
    </xf>
    <xf numFmtId="170" fontId="54" fillId="17" borderId="0" xfId="0" applyNumberFormat="1" applyFont="1" applyFill="1" applyBorder="1" applyAlignment="1">
      <alignment vertical="center" readingOrder="1"/>
    </xf>
    <xf numFmtId="0" fontId="54" fillId="17" borderId="0" xfId="0" applyFont="1" applyFill="1" applyBorder="1" applyAlignment="1">
      <alignment horizontal="left" vertical="center" readingOrder="1"/>
    </xf>
    <xf numFmtId="0" fontId="53" fillId="22" borderId="0" xfId="0" applyFont="1" applyFill="1" applyBorder="1" applyAlignment="1">
      <alignment vertical="center" readingOrder="1"/>
    </xf>
    <xf numFmtId="0" fontId="53" fillId="17" borderId="0" xfId="0" applyFont="1" applyFill="1" applyBorder="1" applyAlignment="1">
      <alignment vertical="center" readingOrder="1"/>
    </xf>
    <xf numFmtId="183" fontId="54" fillId="17" borderId="0" xfId="0" applyNumberFormat="1" applyFont="1" applyFill="1" applyBorder="1" applyAlignment="1">
      <alignment vertical="center" readingOrder="1"/>
    </xf>
    <xf numFmtId="0" fontId="52" fillId="22" borderId="0" xfId="0" applyFont="1" applyFill="1" applyBorder="1" applyAlignment="1">
      <alignment vertical="center" readingOrder="1"/>
    </xf>
    <xf numFmtId="0" fontId="47" fillId="17" borderId="0" xfId="0" applyFont="1" applyFill="1" applyBorder="1" applyAlignment="1">
      <alignment vertical="top"/>
    </xf>
    <xf numFmtId="0" fontId="47" fillId="17" borderId="0" xfId="0" applyFont="1" applyFill="1" applyBorder="1"/>
  </cellXfs>
  <cellStyles count="8">
    <cellStyle name="Comma" xfId="5" builtinId="3"/>
    <cellStyle name="Hyperlink" xfId="3" builtinId="8"/>
    <cellStyle name="Hyperlink 2" xfId="2" xr:uid="{80D31DAA-3F5C-408F-9A6C-7F20EC2CB20A}"/>
    <cellStyle name="Normal" xfId="0" builtinId="0"/>
    <cellStyle name="Normal 2" xfId="1" xr:uid="{43A58668-E5ED-4B58-9A29-D321BE9C51B4}"/>
    <cellStyle name="Normal 3" xfId="6" xr:uid="{3DB3875B-0135-4F43-AF86-1A7C1E15C2AC}"/>
    <cellStyle name="Normal 5" xfId="4" xr:uid="{78C89EF9-E894-401D-ADD0-938B65045D06}"/>
    <cellStyle name="Per cent" xfId="7" builtinId="5"/>
  </cellStyles>
  <dxfs count="1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ssets.paconsulting.com/assets/uploads/pa-shares/UKCGTmarch2021investment.xlsx" TargetMode="External"/><Relationship Id="rId1" Type="http://schemas.openxmlformats.org/officeDocument/2006/relationships/hyperlink" Target="https://app.powerbi.com/groups/me/apps/38f1d154-1093-40f3-9e43-8e590ab701f9/rdlreports/63d9754b-f551-4296-9423-19932858df9c?experience=power-b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903AC-9FD7-4451-95ED-578C32A74DB5}">
  <sheetPr codeName="Sheet1"/>
  <dimension ref="A1:R107"/>
  <sheetViews>
    <sheetView showGridLines="0" tabSelected="1" zoomScale="130" zoomScaleNormal="130" workbookViewId="0">
      <selection activeCell="A3" sqref="A3"/>
    </sheetView>
  </sheetViews>
  <sheetFormatPr defaultColWidth="9.33203125" defaultRowHeight="12" x14ac:dyDescent="0.3"/>
  <cols>
    <col min="1" max="1" width="6" style="171" customWidth="1"/>
    <col min="2" max="2" width="21.5546875" style="171" customWidth="1"/>
    <col min="3" max="3" width="19.6640625" style="171" customWidth="1"/>
    <col min="4" max="4" width="18.44140625" style="171" customWidth="1"/>
    <col min="5" max="5" width="19.88671875" style="171" customWidth="1"/>
    <col min="6" max="6" width="15.33203125" style="171" customWidth="1"/>
    <col min="7" max="7" width="18.109375" style="171" customWidth="1"/>
    <col min="8" max="8" width="16.6640625" style="171" customWidth="1"/>
    <col min="9" max="9" width="17.6640625" style="208" customWidth="1"/>
    <col min="10" max="10" width="17.6640625" style="171" customWidth="1"/>
    <col min="11" max="11" width="16" style="171" customWidth="1"/>
    <col min="12" max="12" width="15.33203125" style="171" customWidth="1"/>
    <col min="13" max="13" width="41.6640625" style="171" bestFit="1" customWidth="1"/>
    <col min="14" max="14" width="14.5546875" style="171" bestFit="1" customWidth="1"/>
    <col min="15" max="15" width="21.88671875" style="171" bestFit="1" customWidth="1"/>
    <col min="16" max="16384" width="9.33203125" style="171"/>
  </cols>
  <sheetData>
    <row r="1" spans="1:12" ht="12.6" thickBot="1" x14ac:dyDescent="0.35"/>
    <row r="2" spans="1:12" ht="12.6" hidden="1" thickBot="1" x14ac:dyDescent="0.35"/>
    <row r="3" spans="1:12" ht="35.1" customHeight="1" thickBot="1" x14ac:dyDescent="0.35">
      <c r="B3" s="478" t="s">
        <v>200</v>
      </c>
      <c r="C3" s="479"/>
      <c r="D3" s="479"/>
      <c r="E3" s="480"/>
    </row>
    <row r="4" spans="1:12" ht="29.4" customHeight="1" x14ac:dyDescent="0.3">
      <c r="B4" s="461" t="s">
        <v>201</v>
      </c>
      <c r="C4" s="462"/>
      <c r="D4" s="462"/>
      <c r="E4" s="463"/>
    </row>
    <row r="5" spans="1:12" ht="38.4" customHeight="1" x14ac:dyDescent="0.3">
      <c r="B5" s="485" t="s">
        <v>143</v>
      </c>
      <c r="C5" s="486"/>
      <c r="D5" s="486"/>
      <c r="E5" s="425" t="s">
        <v>196</v>
      </c>
      <c r="K5" s="421" t="s">
        <v>134</v>
      </c>
      <c r="L5" s="422">
        <f>COUNTIF('Data Share Units'!D:D,'START HERE'!K5)</f>
        <v>0</v>
      </c>
    </row>
    <row r="6" spans="1:12" ht="38.4" customHeight="1" x14ac:dyDescent="0.3">
      <c r="B6" s="485" t="s">
        <v>151</v>
      </c>
      <c r="C6" s="486"/>
      <c r="D6" s="486"/>
      <c r="E6" s="487"/>
      <c r="K6" s="421"/>
      <c r="L6" s="422"/>
    </row>
    <row r="7" spans="1:12" x14ac:dyDescent="0.3">
      <c r="A7" s="446" t="str">
        <f>IF(F7&gt;0,"Exchange","")</f>
        <v/>
      </c>
      <c r="B7" s="439" t="str">
        <f>IF(A7="Exchange","You need to enter*","3) You can skip this step")</f>
        <v>3) You can skip this step</v>
      </c>
      <c r="C7" s="444"/>
      <c r="D7" s="434" t="str">
        <f>IF(A7="Exchange"," Your total 2 March 2021 B Ordinary shares base cost","")</f>
        <v/>
      </c>
      <c r="E7" s="440"/>
      <c r="F7" s="402">
        <f>'Share Unit Pool'!F7</f>
        <v>0</v>
      </c>
      <c r="K7" s="421"/>
      <c r="L7" s="422"/>
    </row>
    <row r="8" spans="1:12" ht="14.4" x14ac:dyDescent="0.3">
      <c r="B8" s="441"/>
      <c r="C8" s="445"/>
      <c r="D8" s="442" t="str">
        <f>IF(A7="Exchange"," Your total 2 March 2021 Preference shares base cost","")</f>
        <v/>
      </c>
      <c r="E8" s="191"/>
      <c r="F8" s="402">
        <f>'Share Unit Pool'!G7</f>
        <v>0</v>
      </c>
      <c r="J8" s="437"/>
      <c r="K8" s="421"/>
      <c r="L8" s="422"/>
    </row>
    <row r="9" spans="1:12" ht="48" customHeight="1" x14ac:dyDescent="0.3">
      <c r="B9" s="485" t="s">
        <v>205</v>
      </c>
      <c r="C9" s="486"/>
      <c r="D9" s="486"/>
      <c r="E9" s="487"/>
      <c r="K9" s="421" t="s">
        <v>135</v>
      </c>
      <c r="L9" s="422">
        <f>COUNTIF('Data Share Units'!D:D,'START HERE'!K9)</f>
        <v>0</v>
      </c>
    </row>
    <row r="10" spans="1:12" ht="24" customHeight="1" x14ac:dyDescent="0.3">
      <c r="B10" s="485" t="s">
        <v>208</v>
      </c>
      <c r="C10" s="486"/>
      <c r="D10" s="486"/>
      <c r="E10" s="487"/>
      <c r="K10" s="421" t="s">
        <v>136</v>
      </c>
      <c r="L10" s="422">
        <f>COUNTIF('Data Share Units'!D:D,'START HERE'!K10)</f>
        <v>0</v>
      </c>
    </row>
    <row r="11" spans="1:12" ht="38.4" customHeight="1" x14ac:dyDescent="0.3">
      <c r="B11" s="485" t="s">
        <v>209</v>
      </c>
      <c r="C11" s="486"/>
      <c r="D11" s="486"/>
      <c r="E11" s="487"/>
      <c r="K11" s="423"/>
      <c r="L11" s="422">
        <f>SUM(L5:L10)</f>
        <v>0</v>
      </c>
    </row>
    <row r="12" spans="1:12" x14ac:dyDescent="0.3">
      <c r="K12" s="424"/>
      <c r="L12" s="422" t="e">
        <f>IF(AND(L9&gt;0,#REF!=""),"Carlyle",IF(AND(L9&gt;0,#REF!="Election part 3"),"Jacobs only",""))</f>
        <v>#REF!</v>
      </c>
    </row>
    <row r="13" spans="1:12" ht="35.4" customHeight="1" x14ac:dyDescent="0.3">
      <c r="B13" s="493" t="str">
        <f>IF(A7="Exchange",_xlfn._LONGTEXT("*You will have a carried forward (from the Carlyle investment period) base cost for the B Ordinary and Preference shares (Jacobs investment period) you received on 2 March 2021.  If you have followed our guidance (or done you own workings) you will be abl","e to find and use your carried forward base cost values from your 2020/21 tax return workings."),"This section is not relevant to you")</f>
        <v>This section is not relevant to you</v>
      </c>
      <c r="C13" s="494"/>
      <c r="D13" s="494"/>
      <c r="E13" s="495"/>
      <c r="K13" s="424"/>
      <c r="L13" s="422"/>
    </row>
    <row r="14" spans="1:12" ht="24.6" customHeight="1" x14ac:dyDescent="0.3">
      <c r="B14" s="496" t="str">
        <f>IF(A7="Exchange","If you have not calculated the March 2021 base costs, you can use our calcultor to help you know this.","Ignore this link: ")</f>
        <v xml:space="preserve">Ignore this link: </v>
      </c>
      <c r="C14" s="497"/>
      <c r="D14" s="497"/>
      <c r="E14" s="443" t="s">
        <v>206</v>
      </c>
      <c r="K14" s="424"/>
      <c r="L14" s="422"/>
    </row>
    <row r="15" spans="1:12" ht="12" customHeight="1" x14ac:dyDescent="0.3">
      <c r="B15" s="438"/>
      <c r="C15" s="63"/>
      <c r="D15" s="63"/>
    </row>
    <row r="16" spans="1:12" ht="14.7" customHeight="1" x14ac:dyDescent="0.3">
      <c r="B16" s="274" t="s">
        <v>207</v>
      </c>
      <c r="C16" s="362"/>
      <c r="D16" s="362"/>
      <c r="E16" s="363"/>
    </row>
    <row r="17" spans="2:9" ht="22.2" customHeight="1" x14ac:dyDescent="0.3">
      <c r="B17" s="119" t="s">
        <v>176</v>
      </c>
      <c r="C17" s="364" t="s">
        <v>0</v>
      </c>
      <c r="D17" s="364" t="s">
        <v>1</v>
      </c>
      <c r="E17" s="365"/>
    </row>
    <row r="18" spans="2:9" ht="14.7" customHeight="1" x14ac:dyDescent="0.3">
      <c r="B18" s="122" t="s">
        <v>145</v>
      </c>
      <c r="C18" s="123">
        <f>'Share Unit Pool'!H83</f>
        <v>0</v>
      </c>
      <c r="D18" s="202">
        <f>IF(AND('Share Unit Pool'!$F$7&lt;&gt;0,'START HERE'!$C$7=0,'START HERE'!$C$8=0,'Data Share Units'!B6&lt;&gt;""),"Add to March 2021 worksheet your brought forward base cost",IF('Share Unit Pool'!$F$8&gt;0,'Share Unit Pool'!I83,IF(AND('Share Unit Pool'!$F$7&gt;0,'START HERE'!$C$7&gt;0,'START HERE'!$C$8&gt;0),'Share Unit Pool'!I83,IF(AND('Share Unit Pool'!F7=0,'Share Unit Pool'!F8=0),'Share Unit Pool'!I83,""))))</f>
        <v>0</v>
      </c>
      <c r="E18" s="481" t="s">
        <v>202</v>
      </c>
      <c r="I18" s="209"/>
    </row>
    <row r="19" spans="2:9" ht="14.7" customHeight="1" x14ac:dyDescent="0.3">
      <c r="B19" s="122" t="s">
        <v>146</v>
      </c>
      <c r="C19" s="123">
        <f>'Share Unit Pool'!H84</f>
        <v>0</v>
      </c>
      <c r="D19" s="202">
        <f>IF(AND('Share Unit Pool'!$F$7&lt;&gt;0,'START HERE'!$C$7=0,'START HERE'!$C$8=0,'Data Share Units'!B6&lt;&gt;""),"Add to March 2021 worksheet your brought forward base cost",IF('Share Unit Pool'!$F$8&gt;0,'Share Unit Pool'!I84,IF(AND('Share Unit Pool'!$F$7&gt;0,'START HERE'!$C$7&gt;0,'START HERE'!$C$8&gt;0),'Share Unit Pool'!I84,IF(AND('Share Unit Pool'!F7=0,'Share Unit Pool'!F8=0),'Share Unit Pool'!I84,""))))</f>
        <v>0</v>
      </c>
      <c r="E19" s="482"/>
    </row>
    <row r="20" spans="2:9" ht="14.7" customHeight="1" x14ac:dyDescent="0.3">
      <c r="B20" s="122" t="s">
        <v>2</v>
      </c>
      <c r="C20" s="123">
        <f>'C Share Pool'!H52</f>
        <v>0</v>
      </c>
      <c r="D20" s="361">
        <f>'C Share Pool'!I52</f>
        <v>0</v>
      </c>
      <c r="E20" s="482"/>
    </row>
    <row r="21" spans="2:9" ht="14.7" customHeight="1" x14ac:dyDescent="0.3">
      <c r="B21" s="156" t="s">
        <v>3</v>
      </c>
      <c r="C21" s="155"/>
      <c r="D21" s="146">
        <f>SUM(D18:D20)</f>
        <v>0</v>
      </c>
      <c r="E21" s="189"/>
    </row>
    <row r="22" spans="2:9" x14ac:dyDescent="0.3">
      <c r="B22" s="216" t="s">
        <v>144</v>
      </c>
      <c r="C22" s="118"/>
      <c r="D22" s="190"/>
      <c r="E22" s="191"/>
    </row>
    <row r="23" spans="2:9" ht="9.4499999999999993" customHeight="1" x14ac:dyDescent="0.3">
      <c r="B23" s="192"/>
      <c r="C23" s="163"/>
      <c r="D23" s="192"/>
    </row>
    <row r="24" spans="2:9" ht="13.5" customHeight="1" x14ac:dyDescent="0.3">
      <c r="B24" s="192"/>
      <c r="C24" s="163"/>
      <c r="D24" s="192"/>
    </row>
    <row r="25" spans="2:9" ht="15" customHeight="1" x14ac:dyDescent="0.3">
      <c r="B25" s="193" t="s">
        <v>177</v>
      </c>
      <c r="C25" s="194"/>
      <c r="D25" s="194"/>
      <c r="E25" s="195"/>
    </row>
    <row r="26" spans="2:9" ht="21.6" customHeight="1" x14ac:dyDescent="0.3">
      <c r="B26" s="119" t="s">
        <v>176</v>
      </c>
      <c r="C26" s="141" t="s">
        <v>4</v>
      </c>
      <c r="D26" s="141" t="s">
        <v>147</v>
      </c>
      <c r="E26" s="142" t="s">
        <v>148</v>
      </c>
    </row>
    <row r="27" spans="2:9" x14ac:dyDescent="0.3">
      <c r="B27" s="120" t="s">
        <v>5</v>
      </c>
      <c r="C27" s="121">
        <f>C18</f>
        <v>0</v>
      </c>
      <c r="D27" s="153">
        <f>IFERROR('20 March 2026 Sale'!C11/'20 March 2026 Sale'!C8,0)</f>
        <v>0</v>
      </c>
      <c r="E27" s="175">
        <f>ROUND(C27*D27,2)</f>
        <v>0</v>
      </c>
      <c r="F27" s="159"/>
    </row>
    <row r="28" spans="2:9" x14ac:dyDescent="0.3">
      <c r="B28" s="122" t="s">
        <v>6</v>
      </c>
      <c r="C28" s="123">
        <f>C19</f>
        <v>0</v>
      </c>
      <c r="D28" s="165">
        <f>IFERROR('20 March 2026 Sale'!C12/'20 March 2026 Sale'!C9,0)</f>
        <v>0</v>
      </c>
      <c r="E28" s="176">
        <f>ROUND(C28*D28,2)</f>
        <v>0</v>
      </c>
      <c r="F28" s="159"/>
    </row>
    <row r="29" spans="2:9" ht="16.5" customHeight="1" x14ac:dyDescent="0.3">
      <c r="B29" s="122" t="s">
        <v>2</v>
      </c>
      <c r="C29" s="123">
        <f>C20</f>
        <v>0</v>
      </c>
      <c r="D29" s="165">
        <f>IFERROR('20 March 2026 Sale'!C13/'20 March 2026 Sale'!C10,0)</f>
        <v>0</v>
      </c>
      <c r="E29" s="176">
        <f>ROUND(C29*D29,2)</f>
        <v>0</v>
      </c>
      <c r="F29" s="159"/>
    </row>
    <row r="30" spans="2:9" x14ac:dyDescent="0.3">
      <c r="B30" s="144"/>
      <c r="C30" s="158"/>
      <c r="D30" s="161" t="s">
        <v>149</v>
      </c>
      <c r="E30" s="174">
        <f>SUM(E27:E29)</f>
        <v>0</v>
      </c>
      <c r="F30" s="154"/>
    </row>
    <row r="31" spans="2:9" ht="35.25" customHeight="1" x14ac:dyDescent="0.3">
      <c r="B31" s="156"/>
      <c r="C31" s="157"/>
      <c r="D31" s="196" t="str">
        <f>IF(E34&gt;0,"80% Delivered in Cash at closing","100% Delivered in cash at closing")</f>
        <v>100% Delivered in cash at closing</v>
      </c>
      <c r="E31" s="197">
        <f>'20 March 2026 Sale'!C17</f>
        <v>0</v>
      </c>
      <c r="F31" s="154" t="s">
        <v>7</v>
      </c>
    </row>
    <row r="32" spans="2:9" ht="15" customHeight="1" x14ac:dyDescent="0.3">
      <c r="B32" s="156"/>
      <c r="C32" s="166"/>
      <c r="D32" s="167" t="s">
        <v>8</v>
      </c>
      <c r="E32" s="176">
        <f>E34*E33</f>
        <v>0</v>
      </c>
      <c r="F32" s="154" t="s">
        <v>14</v>
      </c>
    </row>
    <row r="33" spans="1:12" ht="15" customHeight="1" x14ac:dyDescent="0.3">
      <c r="B33" s="156"/>
      <c r="C33" s="166"/>
      <c r="D33" s="167" t="s">
        <v>141</v>
      </c>
      <c r="E33" s="176">
        <f>'20 March 2026 Sale'!C20</f>
        <v>0</v>
      </c>
      <c r="F33" s="159"/>
    </row>
    <row r="34" spans="1:12" ht="15" customHeight="1" x14ac:dyDescent="0.3">
      <c r="B34" s="144"/>
      <c r="C34" s="162"/>
      <c r="D34" s="161" t="s">
        <v>9</v>
      </c>
      <c r="E34" s="168">
        <f>'20 March 2026 Sale'!C19</f>
        <v>0</v>
      </c>
      <c r="F34" s="155"/>
    </row>
    <row r="35" spans="1:12" ht="13.5" customHeight="1" x14ac:dyDescent="0.3">
      <c r="B35" s="170"/>
      <c r="C35" s="163"/>
      <c r="D35" s="198"/>
      <c r="E35" s="189"/>
    </row>
    <row r="36" spans="1:12" ht="32.4" customHeight="1" x14ac:dyDescent="0.3">
      <c r="B36" s="184" t="s">
        <v>182</v>
      </c>
      <c r="C36" s="145" t="s">
        <v>10</v>
      </c>
      <c r="D36" s="145" t="s">
        <v>11</v>
      </c>
      <c r="E36" s="169" t="s">
        <v>12</v>
      </c>
    </row>
    <row r="37" spans="1:12" ht="13.5" customHeight="1" x14ac:dyDescent="0.3">
      <c r="B37" s="122" t="s">
        <v>5</v>
      </c>
      <c r="C37" s="123">
        <f>C27</f>
        <v>0</v>
      </c>
      <c r="D37" s="165" t="str">
        <f>IF(C37&gt;0,E37/C37,"0")</f>
        <v>0</v>
      </c>
      <c r="E37" s="176">
        <f>'20 March 2026 Sale'!C23</f>
        <v>0</v>
      </c>
    </row>
    <row r="38" spans="1:12" ht="13.5" customHeight="1" x14ac:dyDescent="0.3">
      <c r="B38" s="122" t="s">
        <v>2</v>
      </c>
      <c r="C38" s="123">
        <f>C29</f>
        <v>0</v>
      </c>
      <c r="D38" s="165" t="str">
        <f>IF(C38&gt;0,E38/C38,"")</f>
        <v/>
      </c>
      <c r="E38" s="179">
        <f>'20 March 2026 Sale'!C25</f>
        <v>0</v>
      </c>
      <c r="F38" s="159"/>
      <c r="J38" s="143"/>
    </row>
    <row r="39" spans="1:12" ht="13.5" customHeight="1" x14ac:dyDescent="0.3">
      <c r="B39" s="144"/>
      <c r="C39" s="124"/>
      <c r="D39" s="161" t="s">
        <v>13</v>
      </c>
      <c r="E39" s="177">
        <f>SUM(E37:E38)</f>
        <v>0</v>
      </c>
      <c r="F39" s="183" t="s">
        <v>142</v>
      </c>
    </row>
    <row r="40" spans="1:12" ht="13.5" customHeight="1" thickBot="1" x14ac:dyDescent="0.35">
      <c r="B40" s="192"/>
      <c r="C40" s="163"/>
      <c r="D40" s="192"/>
    </row>
    <row r="41" spans="1:12" ht="21" customHeight="1" thickBot="1" x14ac:dyDescent="0.35">
      <c r="B41" s="240" t="s">
        <v>178</v>
      </c>
      <c r="C41" s="238"/>
      <c r="D41" s="238"/>
      <c r="E41" s="239">
        <f>'20 March 2026 Sale'!C30</f>
        <v>0</v>
      </c>
      <c r="G41" s="366" t="s">
        <v>150</v>
      </c>
    </row>
    <row r="42" spans="1:12" ht="13.5" customHeight="1" x14ac:dyDescent="0.3">
      <c r="G42" s="199"/>
    </row>
    <row r="43" spans="1:12" ht="18" customHeight="1" x14ac:dyDescent="0.3">
      <c r="A43" s="200"/>
      <c r="B43" s="395" t="s">
        <v>203</v>
      </c>
      <c r="C43" s="396"/>
      <c r="D43" s="396"/>
      <c r="E43" s="397"/>
      <c r="F43" s="488" t="s">
        <v>191</v>
      </c>
      <c r="G43" s="489"/>
      <c r="H43" s="489"/>
      <c r="I43" s="398" t="s">
        <v>190</v>
      </c>
      <c r="J43" s="386"/>
      <c r="K43" s="387"/>
    </row>
    <row r="44" spans="1:12" ht="21" customHeight="1" x14ac:dyDescent="0.3">
      <c r="B44" s="275" t="s">
        <v>132</v>
      </c>
      <c r="C44" s="276" t="s">
        <v>10</v>
      </c>
      <c r="D44" s="276" t="s">
        <v>153</v>
      </c>
      <c r="E44" s="277" t="s">
        <v>183</v>
      </c>
      <c r="F44" s="275" t="s">
        <v>155</v>
      </c>
      <c r="G44" s="276" t="s">
        <v>154</v>
      </c>
      <c r="H44" s="276" t="s">
        <v>156</v>
      </c>
      <c r="I44" s="388" t="s">
        <v>186</v>
      </c>
      <c r="J44" s="389" t="s">
        <v>187</v>
      </c>
      <c r="K44" s="390" t="s">
        <v>3</v>
      </c>
    </row>
    <row r="45" spans="1:12" ht="13.5" customHeight="1" x14ac:dyDescent="0.3">
      <c r="B45" s="242" t="s">
        <v>5</v>
      </c>
      <c r="C45" s="265">
        <f>C18</f>
        <v>0</v>
      </c>
      <c r="D45" s="153">
        <f>D27+D37</f>
        <v>0</v>
      </c>
      <c r="E45" s="175">
        <f>ROUND(C45*D45,2)</f>
        <v>0</v>
      </c>
      <c r="F45" s="120">
        <f>IFERROR(F48-F47-F46,0)</f>
        <v>0</v>
      </c>
      <c r="G45" s="178">
        <f>G48-G47-G46</f>
        <v>0</v>
      </c>
      <c r="H45" s="178">
        <f>'20 March 2026 Sale'!C23</f>
        <v>0</v>
      </c>
      <c r="I45" s="380">
        <f>IF($E$41=$G$41,SUM(F45,H45),E45)</f>
        <v>0</v>
      </c>
      <c r="J45" s="381">
        <f>IF($E$41=$G$41,G45,0)</f>
        <v>0</v>
      </c>
      <c r="K45" s="382">
        <f>I45+J45</f>
        <v>0</v>
      </c>
    </row>
    <row r="46" spans="1:12" ht="13.5" customHeight="1" x14ac:dyDescent="0.3">
      <c r="B46" s="244" t="s">
        <v>6</v>
      </c>
      <c r="C46" s="266">
        <f>C19</f>
        <v>0</v>
      </c>
      <c r="D46" s="165">
        <f>D28</f>
        <v>0</v>
      </c>
      <c r="E46" s="176">
        <f>ROUND(C46*D46,2)</f>
        <v>0</v>
      </c>
      <c r="F46" s="122">
        <f>E46</f>
        <v>0</v>
      </c>
      <c r="G46" s="246"/>
      <c r="H46" s="246"/>
      <c r="I46" s="375">
        <f t="shared" ref="I46:I47" si="0">IF($E$41=$G$41,SUM(F46,H46),E46)</f>
        <v>0</v>
      </c>
      <c r="J46" s="143">
        <f t="shared" ref="J46:J47" si="1">IF($E$41=$G$41,G46,0)</f>
        <v>0</v>
      </c>
      <c r="K46" s="376">
        <f t="shared" ref="K46:K48" si="2">I46+J46</f>
        <v>0</v>
      </c>
    </row>
    <row r="47" spans="1:12" ht="13.5" customHeight="1" x14ac:dyDescent="0.3">
      <c r="B47" s="185" t="s">
        <v>2</v>
      </c>
      <c r="C47" s="267">
        <f>C20</f>
        <v>0</v>
      </c>
      <c r="D47" s="268">
        <f>IF(C29=0,0,D29+D38)</f>
        <v>0</v>
      </c>
      <c r="E47" s="179">
        <f>ROUND(C47*D47,2)</f>
        <v>0</v>
      </c>
      <c r="F47" s="263">
        <f>IFERROR(ROUND(E47/SUM(E47,E45)*F49,2),0)</f>
        <v>0</v>
      </c>
      <c r="G47" s="125">
        <f>IFERROR(ROUND(F47/SUM(F47,F45)*G49,2),0)</f>
        <v>0</v>
      </c>
      <c r="H47" s="125">
        <f>'20 March 2026 Sale'!C25</f>
        <v>0</v>
      </c>
      <c r="I47" s="383">
        <f t="shared" si="0"/>
        <v>0</v>
      </c>
      <c r="J47" s="384">
        <f t="shared" si="1"/>
        <v>0</v>
      </c>
      <c r="K47" s="385">
        <f t="shared" si="2"/>
        <v>0</v>
      </c>
    </row>
    <row r="48" spans="1:12" ht="13.5" customHeight="1" thickBot="1" x14ac:dyDescent="0.35">
      <c r="B48" s="186" t="s">
        <v>140</v>
      </c>
      <c r="C48" s="180"/>
      <c r="D48" s="181"/>
      <c r="E48" s="182">
        <f>SUM(E45:E47)</f>
        <v>0</v>
      </c>
      <c r="F48" s="264">
        <f>'20 March 2026 Sale'!C17</f>
        <v>0</v>
      </c>
      <c r="G48" s="247">
        <f>'20 March 2026 Sale'!C22</f>
        <v>0</v>
      </c>
      <c r="H48" s="247">
        <f>SUM(H45:H47)</f>
        <v>0</v>
      </c>
      <c r="I48" s="377">
        <f>SUM(I45:I47)</f>
        <v>0</v>
      </c>
      <c r="J48" s="378">
        <f>SUM(J45:J47)</f>
        <v>0</v>
      </c>
      <c r="K48" s="379">
        <f t="shared" si="2"/>
        <v>0</v>
      </c>
      <c r="L48" s="372">
        <f>E48-K48</f>
        <v>0</v>
      </c>
    </row>
    <row r="49" spans="2:13" ht="13.5" customHeight="1" x14ac:dyDescent="0.3">
      <c r="B49" s="201"/>
      <c r="C49" s="201"/>
      <c r="D49" s="201"/>
      <c r="E49" s="272" t="s">
        <v>157</v>
      </c>
      <c r="F49" s="273">
        <f>F48-F46</f>
        <v>0</v>
      </c>
      <c r="G49" s="273">
        <f>G48</f>
        <v>0</v>
      </c>
      <c r="H49" s="273">
        <f>E48-F48-G48-H48</f>
        <v>0</v>
      </c>
      <c r="I49" s="241"/>
      <c r="J49" s="241"/>
      <c r="K49" s="241"/>
    </row>
    <row r="50" spans="2:13" ht="13.5" customHeight="1" x14ac:dyDescent="0.3">
      <c r="B50" s="371" t="s">
        <v>184</v>
      </c>
      <c r="C50" s="344"/>
      <c r="D50" s="345"/>
      <c r="E50" s="269"/>
      <c r="F50" s="490" t="s">
        <v>185</v>
      </c>
      <c r="G50" s="491"/>
      <c r="H50" s="492"/>
      <c r="I50" s="269" t="s">
        <v>188</v>
      </c>
      <c r="J50" s="391"/>
      <c r="K50" s="392"/>
    </row>
    <row r="51" spans="2:13" ht="24" customHeight="1" x14ac:dyDescent="0.3">
      <c r="B51" s="270" t="s">
        <v>132</v>
      </c>
      <c r="C51" s="346"/>
      <c r="D51" s="347"/>
      <c r="E51" s="270" t="s">
        <v>1</v>
      </c>
      <c r="F51" s="341" t="str">
        <f>F44</f>
        <v>Cash paid 1 April 2026</v>
      </c>
      <c r="G51" s="342" t="str">
        <f>G44</f>
        <v>Jacobs Share value at 20 March 2026</v>
      </c>
      <c r="H51" s="271" t="str">
        <f>H44</f>
        <v>Deferred due 20 March 2028</v>
      </c>
      <c r="I51" s="393" t="s">
        <v>186</v>
      </c>
      <c r="J51" s="187" t="s">
        <v>187</v>
      </c>
      <c r="K51" s="394" t="s">
        <v>3</v>
      </c>
    </row>
    <row r="52" spans="2:13" ht="13.5" customHeight="1" x14ac:dyDescent="0.3">
      <c r="B52" s="348" t="s">
        <v>5</v>
      </c>
      <c r="C52" s="349"/>
      <c r="D52" s="350"/>
      <c r="E52" s="250">
        <f>D18</f>
        <v>0</v>
      </c>
      <c r="F52" s="250">
        <f t="shared" ref="F52:H54" si="3">IF(E52&gt;0,ROUND($E52*F45/$E45,2),0)</f>
        <v>0</v>
      </c>
      <c r="G52" s="251">
        <f t="shared" si="3"/>
        <v>0</v>
      </c>
      <c r="H52" s="243">
        <f t="shared" si="3"/>
        <v>0</v>
      </c>
      <c r="I52" s="120">
        <f>IF($E$41=$G$41,SUM(F52,H52),E52)</f>
        <v>0</v>
      </c>
      <c r="J52" s="178">
        <f>IF($E$41=$G$41,G52,0)</f>
        <v>0</v>
      </c>
      <c r="K52" s="175">
        <f>I52+J52</f>
        <v>0</v>
      </c>
      <c r="M52" s="211"/>
    </row>
    <row r="53" spans="2:13" ht="13.5" customHeight="1" x14ac:dyDescent="0.3">
      <c r="B53" s="351" t="s">
        <v>6</v>
      </c>
      <c r="C53" s="352"/>
      <c r="D53" s="353"/>
      <c r="E53" s="248">
        <f>D19</f>
        <v>0</v>
      </c>
      <c r="F53" s="248">
        <f t="shared" si="3"/>
        <v>0</v>
      </c>
      <c r="G53" s="212">
        <f t="shared" si="3"/>
        <v>0</v>
      </c>
      <c r="H53" s="245">
        <f t="shared" si="3"/>
        <v>0</v>
      </c>
      <c r="I53" s="122">
        <f>IF($E$41=$G$41,SUM(F53,H53),E53)</f>
        <v>0</v>
      </c>
      <c r="J53" s="143">
        <f t="shared" ref="J53:J54" si="4">IF($E$41=$G$41,G53,0)</f>
        <v>0</v>
      </c>
      <c r="K53" s="176">
        <f t="shared" ref="K53:K55" si="5">I53+J53</f>
        <v>0</v>
      </c>
      <c r="M53" s="211"/>
    </row>
    <row r="54" spans="2:13" ht="13.5" customHeight="1" x14ac:dyDescent="0.3">
      <c r="B54" s="354" t="s">
        <v>2</v>
      </c>
      <c r="C54" s="355"/>
      <c r="D54" s="356"/>
      <c r="E54" s="252">
        <f>D20</f>
        <v>0</v>
      </c>
      <c r="F54" s="252">
        <f t="shared" si="3"/>
        <v>0</v>
      </c>
      <c r="G54" s="253">
        <f t="shared" si="3"/>
        <v>0</v>
      </c>
      <c r="H54" s="210">
        <f t="shared" si="3"/>
        <v>0</v>
      </c>
      <c r="I54" s="263">
        <f>IF($E$41=$G$41,SUM(F54,H54),E54)</f>
        <v>0</v>
      </c>
      <c r="J54" s="125">
        <f t="shared" si="4"/>
        <v>0</v>
      </c>
      <c r="K54" s="179">
        <f t="shared" si="5"/>
        <v>0</v>
      </c>
      <c r="M54" s="211"/>
    </row>
    <row r="55" spans="2:13" ht="13.5" customHeight="1" x14ac:dyDescent="0.3">
      <c r="B55" s="357" t="s">
        <v>140</v>
      </c>
      <c r="C55" s="358"/>
      <c r="D55" s="359"/>
      <c r="E55" s="249">
        <f>D21</f>
        <v>0</v>
      </c>
      <c r="F55" s="263">
        <f>SUM(F52:F54)</f>
        <v>0</v>
      </c>
      <c r="G55" s="125">
        <f>SUM(G52:G54)</f>
        <v>0</v>
      </c>
      <c r="H55" s="179">
        <f>SUM(H52:H54)</f>
        <v>0</v>
      </c>
      <c r="I55" s="377">
        <f>SUM(I52:I54)</f>
        <v>0</v>
      </c>
      <c r="J55" s="378">
        <f>SUM(J52:J54)</f>
        <v>0</v>
      </c>
      <c r="K55" s="379">
        <f t="shared" si="5"/>
        <v>0</v>
      </c>
      <c r="L55" s="372">
        <f>E55-K55</f>
        <v>0</v>
      </c>
      <c r="M55" s="211"/>
    </row>
    <row r="56" spans="2:13" ht="13.5" customHeight="1" x14ac:dyDescent="0.3">
      <c r="B56" s="483" t="s">
        <v>179</v>
      </c>
      <c r="C56" s="483"/>
      <c r="D56" s="483"/>
      <c r="E56" s="483"/>
      <c r="F56" s="483"/>
      <c r="G56" s="483"/>
      <c r="H56" s="483"/>
      <c r="I56" s="241">
        <f>I48-I55</f>
        <v>0</v>
      </c>
      <c r="J56" s="241">
        <f>J48-J55</f>
        <v>0</v>
      </c>
      <c r="K56" s="241">
        <f>K48-K55</f>
        <v>0</v>
      </c>
      <c r="L56" s="402" t="s">
        <v>193</v>
      </c>
      <c r="M56" s="211"/>
    </row>
    <row r="57" spans="2:13" ht="13.5" customHeight="1" x14ac:dyDescent="0.3">
      <c r="B57" s="483"/>
      <c r="C57" s="483"/>
      <c r="D57" s="483"/>
      <c r="E57" s="483"/>
      <c r="F57" s="483"/>
      <c r="G57" s="483"/>
      <c r="H57" s="483"/>
      <c r="I57" s="241"/>
      <c r="M57" s="211"/>
    </row>
    <row r="58" spans="2:13" ht="7.95" customHeight="1" thickBot="1" x14ac:dyDescent="0.35">
      <c r="B58" s="484"/>
      <c r="C58" s="484"/>
      <c r="D58" s="484"/>
      <c r="E58" s="484"/>
      <c r="F58" s="484"/>
      <c r="G58" s="484"/>
      <c r="H58" s="484"/>
    </row>
    <row r="59" spans="2:13" ht="27" customHeight="1" x14ac:dyDescent="0.3">
      <c r="B59" s="367" t="s">
        <v>160</v>
      </c>
      <c r="C59" s="283"/>
      <c r="D59" s="284"/>
      <c r="E59" s="285" t="str">
        <f>IF(E41="Purchaser Notes","You are taxable in 2025/26 on your Closing cash and your total Deferred value (but not on your Jacobs share value).","You are taxable in 2025/26 on all consideration for the sale of your PA shares.")</f>
        <v>You are taxable in 2025/26 on all consideration for the sale of your PA shares.</v>
      </c>
      <c r="F59" s="286"/>
      <c r="G59" s="286"/>
      <c r="H59" s="287"/>
    </row>
    <row r="60" spans="2:13" ht="22.2" customHeight="1" x14ac:dyDescent="0.3">
      <c r="B60" s="368" t="s">
        <v>15</v>
      </c>
      <c r="C60" s="278" t="s">
        <v>161</v>
      </c>
      <c r="D60" s="173" t="s">
        <v>162</v>
      </c>
      <c r="E60" s="173" t="s">
        <v>163</v>
      </c>
      <c r="F60" s="187"/>
      <c r="G60" s="173" t="s">
        <v>16</v>
      </c>
      <c r="H60" s="288"/>
      <c r="I60" s="212"/>
    </row>
    <row r="61" spans="2:13" ht="13.5" customHeight="1" x14ac:dyDescent="0.3">
      <c r="B61" s="289" t="str">
        <f>D31</f>
        <v>100% Delivered in cash at closing</v>
      </c>
      <c r="C61" s="279">
        <f>F48</f>
        <v>0</v>
      </c>
      <c r="D61" s="178">
        <f>C61</f>
        <v>0</v>
      </c>
      <c r="E61" s="178">
        <f>F55</f>
        <v>0</v>
      </c>
      <c r="F61" s="188"/>
      <c r="G61" s="178">
        <f>D61-E61</f>
        <v>0</v>
      </c>
      <c r="H61" s="290"/>
      <c r="J61" s="143"/>
    </row>
    <row r="62" spans="2:13" ht="13.5" customHeight="1" x14ac:dyDescent="0.3">
      <c r="B62" s="291" t="str">
        <f>IF(E34&gt;0,D32,"")</f>
        <v/>
      </c>
      <c r="C62" s="292">
        <f>G48</f>
        <v>0</v>
      </c>
      <c r="D62" s="143">
        <f>IF(E41="Purchaser Notes",0,E32)</f>
        <v>0</v>
      </c>
      <c r="E62" s="143">
        <f>IF(E41=$G$41,0,G55)</f>
        <v>0</v>
      </c>
      <c r="G62" s="143">
        <f>D62-E62</f>
        <v>0</v>
      </c>
      <c r="H62" s="293"/>
    </row>
    <row r="63" spans="2:13" ht="13.5" customHeight="1" x14ac:dyDescent="0.3">
      <c r="B63" s="291" t="s">
        <v>13</v>
      </c>
      <c r="C63" s="280">
        <f>H48</f>
        <v>0</v>
      </c>
      <c r="D63" s="125">
        <f>C63</f>
        <v>0</v>
      </c>
      <c r="E63" s="125">
        <f>H55</f>
        <v>0</v>
      </c>
      <c r="G63" s="125">
        <f>D63-E63</f>
        <v>0</v>
      </c>
      <c r="H63" s="293"/>
    </row>
    <row r="64" spans="2:13" ht="21" customHeight="1" x14ac:dyDescent="0.3">
      <c r="B64" s="294" t="s">
        <v>17</v>
      </c>
      <c r="C64" s="295">
        <f>SUM(C61:C63)</f>
        <v>0</v>
      </c>
      <c r="D64" s="296">
        <f>SUM(D61:D63)</f>
        <v>0</v>
      </c>
      <c r="E64" s="296">
        <f>SUM(E61:E63)</f>
        <v>0</v>
      </c>
      <c r="G64" s="296">
        <f>SUM(G61:G63)</f>
        <v>0</v>
      </c>
      <c r="H64" s="297" t="s">
        <v>18</v>
      </c>
      <c r="I64" s="212"/>
      <c r="J64" s="202"/>
      <c r="K64" s="203"/>
    </row>
    <row r="65" spans="2:11" ht="13.5" customHeight="1" x14ac:dyDescent="0.3">
      <c r="B65" s="298"/>
      <c r="G65" s="426">
        <v>-3000</v>
      </c>
      <c r="H65" s="299" t="s">
        <v>19</v>
      </c>
      <c r="J65" s="202"/>
      <c r="K65" s="203"/>
    </row>
    <row r="66" spans="2:11" ht="13.5" customHeight="1" x14ac:dyDescent="0.3">
      <c r="B66" s="298"/>
      <c r="G66" s="160">
        <f>MAX(0,G64+G65)</f>
        <v>0</v>
      </c>
      <c r="H66" s="300" t="s">
        <v>20</v>
      </c>
      <c r="I66" s="212"/>
    </row>
    <row r="67" spans="2:11" ht="18.600000000000001" customHeight="1" x14ac:dyDescent="0.3">
      <c r="B67" s="301"/>
      <c r="D67" s="302" t="s">
        <v>21</v>
      </c>
      <c r="E67" s="303">
        <v>0.24</v>
      </c>
      <c r="G67" s="172">
        <f>G66*E67</f>
        <v>0</v>
      </c>
      <c r="H67" s="297" t="s">
        <v>22</v>
      </c>
    </row>
    <row r="68" spans="2:11" ht="18" customHeight="1" thickBot="1" x14ac:dyDescent="0.35">
      <c r="B68" s="304"/>
      <c r="C68" s="305"/>
      <c r="D68" s="305"/>
      <c r="E68" s="405" t="s">
        <v>195</v>
      </c>
      <c r="F68" s="305"/>
      <c r="G68" s="305"/>
      <c r="H68" s="306"/>
      <c r="I68" s="171"/>
    </row>
    <row r="69" spans="2:11" ht="33.6" customHeight="1" thickBot="1" x14ac:dyDescent="0.35">
      <c r="B69" s="470" t="s">
        <v>180</v>
      </c>
      <c r="C69" s="471"/>
      <c r="D69" s="471"/>
      <c r="E69" s="471"/>
      <c r="F69" s="471"/>
      <c r="G69" s="471"/>
      <c r="H69" s="472"/>
      <c r="I69" s="171"/>
    </row>
    <row r="70" spans="2:11" ht="10.199999999999999" customHeight="1" x14ac:dyDescent="0.3">
      <c r="I70" s="171"/>
    </row>
    <row r="71" spans="2:11" ht="10.199999999999999" customHeight="1" x14ac:dyDescent="0.3">
      <c r="I71" s="171"/>
    </row>
    <row r="72" spans="2:11" ht="10.199999999999999" customHeight="1" thickBot="1" x14ac:dyDescent="0.35">
      <c r="B72" s="370"/>
      <c r="C72" s="370"/>
      <c r="D72" s="370"/>
      <c r="E72" s="370"/>
      <c r="F72" s="370"/>
      <c r="G72" s="370"/>
      <c r="H72" s="370"/>
      <c r="I72" s="369"/>
    </row>
    <row r="73" spans="2:11" ht="27" customHeight="1" x14ac:dyDescent="0.3">
      <c r="B73" s="282" t="str">
        <f>IF(E41="Purchaser Notes","YOUR EXPECTED LATER TAX YEAR SALE POSITION (AFTER YOU SELL JACOBS SHARES RECEIVED ON 20 MARCH 2026)","You are only taxable when you sell your Jacobs shares on any gain from their 20 March 2026 opening price of £96.02.")</f>
        <v>You are only taxable when you sell your Jacobs shares on any gain from their 20 March 2026 opening price of £96.02.</v>
      </c>
      <c r="C73" s="283"/>
      <c r="D73" s="284"/>
      <c r="E73" s="285"/>
      <c r="F73" s="286"/>
      <c r="G73" s="286"/>
      <c r="H73" s="287"/>
    </row>
    <row r="74" spans="2:11" ht="27" customHeight="1" thickBot="1" x14ac:dyDescent="0.35">
      <c r="B74" s="458" t="s">
        <v>189</v>
      </c>
      <c r="C74" s="459"/>
      <c r="D74" s="459"/>
      <c r="E74" s="459"/>
      <c r="F74" s="459"/>
      <c r="G74" s="459"/>
      <c r="H74" s="460"/>
    </row>
    <row r="75" spans="2:11" ht="24.75" customHeight="1" x14ac:dyDescent="0.3">
      <c r="B75" s="473" t="s">
        <v>171</v>
      </c>
      <c r="C75" s="474"/>
      <c r="D75" s="334" t="s">
        <v>23</v>
      </c>
      <c r="E75" s="335" t="s">
        <v>181</v>
      </c>
      <c r="F75" s="336"/>
      <c r="G75" s="334" t="s">
        <v>158</v>
      </c>
      <c r="H75" s="287"/>
    </row>
    <row r="76" spans="2:11" ht="24.75" customHeight="1" x14ac:dyDescent="0.3">
      <c r="B76" s="307" t="s">
        <v>24</v>
      </c>
      <c r="C76" s="167" t="s">
        <v>167</v>
      </c>
      <c r="D76" s="308">
        <f>IF(E41=G41,E34,0)</f>
        <v>0</v>
      </c>
      <c r="E76" s="143"/>
      <c r="F76" s="143"/>
      <c r="G76" s="143"/>
      <c r="H76" s="293"/>
    </row>
    <row r="77" spans="2:11" ht="17.7" customHeight="1" x14ac:dyDescent="0.3">
      <c r="B77" s="307"/>
      <c r="C77" s="167" t="s">
        <v>168</v>
      </c>
      <c r="D77" s="309">
        <f>IF(D76=0,0,E32)</f>
        <v>0</v>
      </c>
      <c r="E77" s="143">
        <f>J55</f>
        <v>0</v>
      </c>
      <c r="F77" s="143"/>
      <c r="G77" s="143">
        <f>IFERROR(D77-E77,0)</f>
        <v>0</v>
      </c>
      <c r="H77" s="293"/>
    </row>
    <row r="78" spans="2:11" ht="17.7" customHeight="1" x14ac:dyDescent="0.3">
      <c r="B78" s="307"/>
      <c r="C78" s="167" t="s">
        <v>166</v>
      </c>
      <c r="D78" s="310" t="str">
        <f>IF(D76=0,"",J78)</f>
        <v/>
      </c>
      <c r="E78" s="143"/>
      <c r="F78" s="143"/>
      <c r="G78" s="164">
        <v>-3000</v>
      </c>
      <c r="H78" s="299" t="s">
        <v>19</v>
      </c>
      <c r="J78" s="406">
        <v>46558</v>
      </c>
    </row>
    <row r="79" spans="2:11" ht="16.5" customHeight="1" thickBot="1" x14ac:dyDescent="0.35">
      <c r="B79" s="337" t="s">
        <v>25</v>
      </c>
      <c r="C79" s="338"/>
      <c r="D79" s="339">
        <v>0.24</v>
      </c>
      <c r="E79" s="305"/>
      <c r="F79" s="305"/>
      <c r="G79" s="340">
        <f>MAX(0,(G77+G78)*D79)</f>
        <v>0</v>
      </c>
      <c r="H79" s="306"/>
      <c r="J79" s="202"/>
      <c r="K79" s="203"/>
    </row>
    <row r="80" spans="2:11" ht="13.5" customHeight="1" x14ac:dyDescent="0.3">
      <c r="B80" s="298"/>
      <c r="H80" s="293"/>
      <c r="J80" s="202"/>
      <c r="K80" s="203"/>
    </row>
    <row r="81" spans="2:18" x14ac:dyDescent="0.3">
      <c r="B81" s="311"/>
      <c r="C81" s="312"/>
      <c r="D81" s="313"/>
      <c r="E81" s="314"/>
      <c r="F81" s="314"/>
      <c r="G81" s="314"/>
      <c r="H81" s="315"/>
      <c r="I81" s="213"/>
    </row>
    <row r="82" spans="2:18" ht="16.2" thickBot="1" x14ac:dyDescent="0.35">
      <c r="B82" s="316" t="s">
        <v>170</v>
      </c>
      <c r="H82" s="315"/>
      <c r="I82" s="213"/>
    </row>
    <row r="83" spans="2:18" customFormat="1" ht="15.6" x14ac:dyDescent="0.3">
      <c r="B83" s="328" t="s">
        <v>165</v>
      </c>
      <c r="C83" s="329"/>
      <c r="D83" s="329"/>
      <c r="E83" s="329"/>
      <c r="F83" s="330"/>
      <c r="G83" s="2"/>
      <c r="H83" s="315"/>
      <c r="I83" s="213"/>
      <c r="J83" s="171"/>
      <c r="K83" s="171"/>
      <c r="L83" s="171"/>
      <c r="M83" s="171"/>
      <c r="N83" s="171"/>
      <c r="O83" s="171"/>
      <c r="P83" s="171"/>
      <c r="Q83" s="171"/>
    </row>
    <row r="84" spans="2:18" s="63" customFormat="1" ht="30" customHeight="1" x14ac:dyDescent="0.3">
      <c r="B84" s="331" t="s">
        <v>127</v>
      </c>
      <c r="C84" s="332" t="s">
        <v>128</v>
      </c>
      <c r="D84" s="332" t="s">
        <v>129</v>
      </c>
      <c r="E84" s="332" t="s">
        <v>130</v>
      </c>
      <c r="F84" s="333" t="s">
        <v>131</v>
      </c>
      <c r="G84" s="94"/>
      <c r="H84" s="315"/>
      <c r="I84" s="213"/>
      <c r="J84" s="171"/>
      <c r="K84" s="171"/>
      <c r="L84" s="171"/>
      <c r="M84" s="171"/>
      <c r="N84" s="171"/>
      <c r="O84" s="171"/>
      <c r="P84" s="171"/>
      <c r="Q84" s="171"/>
    </row>
    <row r="85" spans="2:18" s="63" customFormat="1" ht="40.200000000000003" customHeight="1" x14ac:dyDescent="0.3">
      <c r="B85" s="407" t="s">
        <v>169</v>
      </c>
      <c r="C85" s="408" t="str">
        <f>D78</f>
        <v/>
      </c>
      <c r="D85" s="409">
        <f>D76</f>
        <v>0</v>
      </c>
      <c r="E85" s="410">
        <f>D77</f>
        <v>0</v>
      </c>
      <c r="F85" s="411">
        <f>G77</f>
        <v>0</v>
      </c>
      <c r="G85" s="94"/>
      <c r="H85" s="315"/>
      <c r="I85" s="213"/>
      <c r="J85" s="171"/>
      <c r="K85" s="171"/>
      <c r="L85" s="171"/>
      <c r="M85" s="171"/>
      <c r="N85" s="171"/>
      <c r="O85" s="171"/>
      <c r="P85" s="171"/>
      <c r="Q85" s="171"/>
    </row>
    <row r="86" spans="2:18" s="63" customFormat="1" ht="16.2" thickBot="1" x14ac:dyDescent="0.35">
      <c r="B86" s="407"/>
      <c r="C86" s="408"/>
      <c r="D86" s="409"/>
      <c r="E86" s="412"/>
      <c r="F86" s="413"/>
      <c r="G86" s="94"/>
      <c r="H86" s="315"/>
      <c r="I86" s="213"/>
      <c r="J86" s="171"/>
      <c r="K86" s="171"/>
      <c r="L86" s="171"/>
      <c r="M86" s="171"/>
      <c r="N86" s="171"/>
      <c r="O86" s="171"/>
      <c r="P86" s="171"/>
      <c r="Q86" s="171"/>
    </row>
    <row r="87" spans="2:18" s="63" customFormat="1" ht="15.6" x14ac:dyDescent="0.3">
      <c r="B87" s="407"/>
      <c r="C87" s="408"/>
      <c r="D87" s="409"/>
      <c r="E87" s="412"/>
      <c r="F87" s="413"/>
      <c r="G87" s="94"/>
      <c r="H87" s="315"/>
      <c r="I87" s="213"/>
      <c r="J87" s="171"/>
      <c r="K87" s="171"/>
      <c r="L87" s="171"/>
      <c r="M87" s="171"/>
      <c r="N87" s="171"/>
      <c r="O87" s="171"/>
      <c r="P87" s="171"/>
      <c r="Q87" s="171"/>
    </row>
    <row r="88" spans="2:18" s="63" customFormat="1" ht="15.6" x14ac:dyDescent="0.3">
      <c r="B88" s="407" t="s">
        <v>133</v>
      </c>
      <c r="C88" s="414"/>
      <c r="D88" s="415">
        <f>SUM(D85:D87)</f>
        <v>0</v>
      </c>
      <c r="E88" s="416">
        <f>SUM(E85:E87)</f>
        <v>0</v>
      </c>
      <c r="F88" s="417">
        <f>SUM(F85:F87)</f>
        <v>0</v>
      </c>
      <c r="G88" s="94"/>
      <c r="H88" s="315"/>
      <c r="I88" s="111"/>
      <c r="R88" s="207"/>
    </row>
    <row r="89" spans="2:18" s="63" customFormat="1" ht="30" hidden="1" customHeight="1" x14ac:dyDescent="0.3">
      <c r="B89" s="407"/>
      <c r="C89" s="414"/>
      <c r="D89" s="418"/>
      <c r="E89" s="419"/>
      <c r="F89" s="420"/>
      <c r="G89" s="94"/>
      <c r="H89" s="315"/>
      <c r="I89" s="111"/>
      <c r="J89" s="114"/>
    </row>
    <row r="90" spans="2:18" s="63" customFormat="1" ht="30" hidden="1" customHeight="1" x14ac:dyDescent="0.3">
      <c r="B90" s="464"/>
      <c r="C90" s="465"/>
      <c r="D90" s="465"/>
      <c r="E90" s="465"/>
      <c r="F90" s="466"/>
      <c r="G90" s="94"/>
      <c r="H90" s="315"/>
      <c r="I90" s="111"/>
      <c r="J90" s="114"/>
    </row>
    <row r="91" spans="2:18" s="63" customFormat="1" ht="30" customHeight="1" thickBot="1" x14ac:dyDescent="0.35">
      <c r="B91" s="467"/>
      <c r="C91" s="468"/>
      <c r="D91" s="468"/>
      <c r="E91" s="468"/>
      <c r="F91" s="469"/>
      <c r="G91" s="317"/>
      <c r="H91" s="318"/>
      <c r="I91" s="109"/>
    </row>
    <row r="96" spans="2:18" ht="56.4" customHeight="1" x14ac:dyDescent="0.25">
      <c r="B96" s="475" t="s">
        <v>210</v>
      </c>
      <c r="C96" s="476"/>
      <c r="D96" s="476"/>
      <c r="E96" s="476"/>
      <c r="F96" s="476"/>
      <c r="G96" s="476"/>
      <c r="H96" s="476"/>
      <c r="I96" s="477"/>
    </row>
    <row r="107" spans="3:3" x14ac:dyDescent="0.3">
      <c r="C107" s="199"/>
    </row>
  </sheetData>
  <mergeCells count="19">
    <mergeCell ref="B96:I96"/>
    <mergeCell ref="B3:E3"/>
    <mergeCell ref="E18:E20"/>
    <mergeCell ref="B56:H58"/>
    <mergeCell ref="B5:D5"/>
    <mergeCell ref="B9:E9"/>
    <mergeCell ref="F43:H43"/>
    <mergeCell ref="B10:E10"/>
    <mergeCell ref="B11:E11"/>
    <mergeCell ref="B6:E6"/>
    <mergeCell ref="F50:H50"/>
    <mergeCell ref="B13:E13"/>
    <mergeCell ref="B14:D14"/>
    <mergeCell ref="B74:H74"/>
    <mergeCell ref="B4:E4"/>
    <mergeCell ref="B90:F90"/>
    <mergeCell ref="B91:F91"/>
    <mergeCell ref="B69:H69"/>
    <mergeCell ref="B75:C75"/>
  </mergeCells>
  <conditionalFormatting sqref="C7:C8">
    <cfRule type="cellIs" dxfId="9" priority="1" operator="equal">
      <formula>0</formula>
    </cfRule>
    <cfRule type="containsText" dxfId="8" priority="2" operator="containsText" text="Enter Base Cost Here">
      <formula>NOT(ISERROR(SEARCH("Enter Base Cost Here",C7)))</formula>
    </cfRule>
  </conditionalFormatting>
  <hyperlinks>
    <hyperlink ref="E5" r:id="rId1" display="https://app.powerbi.com/groups/me/apps/38f1d154-1093-40f3-9e43-8e590ab701f9/rdlreports/63d9754b-f551-4296-9423-19932858df9c?experience=power-bi" xr:uid="{D8B4EE31-529F-4C43-AF8C-CE9DCDE0CDA7}"/>
    <hyperlink ref="E14" r:id="rId2" display="UK CGT calculator March 2021 Jacobs investment" xr:uid="{BDBC1618-3A49-4669-8F29-2CFC5C1594A4}"/>
  </hyperlinks>
  <pageMargins left="0.70866141732283472" right="0.70866141732283472" top="0.74803149606299213" bottom="0.74803149606299213" header="0.31496062992125984" footer="0.31496062992125984"/>
  <pageSetup paperSize="9" scale="67" fitToHeight="2" orientation="portrait" verticalDpi="1200" r:id="rId3"/>
  <headerFooter>
    <oddFooter>&amp;L&amp;9&amp;KFF0000This worksheet is provided to assist you to determine and report capital gains to HMRC.   Neither PA nor Jacobs act as your agent.  You use of this sheet is at your own risk.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7B1E8-6779-4340-A60B-348BF545996E}">
  <sheetPr codeName="Sheet4">
    <pageSetUpPr fitToPage="1"/>
  </sheetPr>
  <dimension ref="A1:R122"/>
  <sheetViews>
    <sheetView zoomScaleNormal="100" workbookViewId="0">
      <pane ySplit="2" topLeftCell="A51" activePane="bottomLeft" state="frozen"/>
      <selection pane="bottomLeft" activeCell="C57" sqref="C57"/>
    </sheetView>
  </sheetViews>
  <sheetFormatPr defaultRowHeight="14.4" x14ac:dyDescent="0.3"/>
  <cols>
    <col min="2" max="2" width="49" customWidth="1"/>
    <col min="3" max="3" width="22" customWidth="1"/>
    <col min="4" max="4" width="19.6640625" customWidth="1"/>
    <col min="5" max="5" width="16.5546875" customWidth="1"/>
    <col min="6" max="6" width="24.33203125" customWidth="1"/>
    <col min="7" max="7" width="15.6640625" customWidth="1"/>
    <col min="8" max="8" width="16.5546875" customWidth="1"/>
    <col min="9" max="9" width="12.5546875" style="109" customWidth="1"/>
    <col min="10" max="10" width="15.5546875" style="63" customWidth="1"/>
    <col min="11" max="11" width="8.6640625" style="63" customWidth="1"/>
    <col min="12" max="12" width="20.33203125" style="63" customWidth="1"/>
    <col min="13" max="13" width="12.6640625" style="63" customWidth="1"/>
    <col min="14" max="14" width="9.33203125" style="63" customWidth="1"/>
    <col min="15" max="15" width="8.6640625" style="63" customWidth="1"/>
    <col min="16" max="16" width="8.88671875" customWidth="1"/>
    <col min="18" max="18" width="9.6640625" bestFit="1" customWidth="1"/>
  </cols>
  <sheetData>
    <row r="1" spans="2:11" ht="15" thickBot="1" x14ac:dyDescent="0.35"/>
    <row r="2" spans="2:11" ht="18" x14ac:dyDescent="0.3">
      <c r="B2" s="512" t="s">
        <v>99</v>
      </c>
      <c r="C2" s="513"/>
      <c r="D2" s="513"/>
      <c r="E2" s="513"/>
      <c r="F2" s="513"/>
      <c r="G2" s="513"/>
      <c r="H2" s="513"/>
      <c r="I2" s="513"/>
      <c r="J2" s="513"/>
    </row>
    <row r="3" spans="2:11" ht="18" x14ac:dyDescent="0.3">
      <c r="B3" s="62"/>
      <c r="C3" s="62"/>
      <c r="D3" s="62"/>
      <c r="E3" s="62"/>
      <c r="F3" s="62"/>
      <c r="G3" s="62"/>
      <c r="H3" s="62"/>
      <c r="I3" s="108"/>
      <c r="J3" s="62"/>
    </row>
    <row r="4" spans="2:11" ht="18" x14ac:dyDescent="0.3">
      <c r="B4" s="62"/>
      <c r="C4" s="62"/>
      <c r="D4" s="62"/>
      <c r="E4" s="62"/>
      <c r="F4" s="62"/>
      <c r="G4" s="62"/>
      <c r="H4" s="62"/>
      <c r="I4" s="108"/>
      <c r="J4" s="62"/>
    </row>
    <row r="5" spans="2:11" ht="15" thickBot="1" x14ac:dyDescent="0.35"/>
    <row r="6" spans="2:11" ht="15.6" x14ac:dyDescent="0.3">
      <c r="B6" s="22" t="s">
        <v>100</v>
      </c>
      <c r="C6" s="23"/>
      <c r="D6" s="23"/>
      <c r="E6" s="23"/>
      <c r="F6" s="24"/>
      <c r="G6" s="2"/>
      <c r="H6" s="2"/>
    </row>
    <row r="7" spans="2:11" ht="15.6" x14ac:dyDescent="0.3">
      <c r="B7" s="25"/>
      <c r="C7" s="2"/>
      <c r="D7" s="2"/>
      <c r="E7" s="2"/>
      <c r="F7" s="26"/>
      <c r="G7" s="2"/>
      <c r="H7" s="2"/>
    </row>
    <row r="8" spans="2:11" ht="15.6" x14ac:dyDescent="0.3">
      <c r="B8" s="27" t="s">
        <v>26</v>
      </c>
      <c r="C8" s="28"/>
      <c r="D8" s="29"/>
      <c r="E8" s="29"/>
      <c r="F8" s="30"/>
      <c r="G8" s="2"/>
      <c r="H8" s="2"/>
      <c r="J8" s="112"/>
      <c r="K8" s="112"/>
    </row>
    <row r="9" spans="2:11" ht="15.6" x14ac:dyDescent="0.3">
      <c r="B9" s="31" t="s">
        <v>27</v>
      </c>
      <c r="C9" s="32">
        <f>E62</f>
        <v>0</v>
      </c>
      <c r="D9" s="2"/>
      <c r="E9" s="2"/>
      <c r="F9" s="26"/>
      <c r="G9" s="2"/>
      <c r="H9" s="2"/>
      <c r="J9" s="112"/>
      <c r="K9" s="112"/>
    </row>
    <row r="10" spans="2:11" ht="15.6" x14ac:dyDescent="0.3">
      <c r="B10" s="31" t="s">
        <v>28</v>
      </c>
      <c r="C10" s="33">
        <v>0</v>
      </c>
      <c r="D10" s="2"/>
      <c r="E10" s="2"/>
      <c r="F10" s="26"/>
      <c r="G10" s="2"/>
      <c r="H10" s="2"/>
      <c r="K10" s="112"/>
    </row>
    <row r="11" spans="2:11" ht="15.6" x14ac:dyDescent="0.3">
      <c r="B11" s="31" t="s">
        <v>17</v>
      </c>
      <c r="C11" s="32">
        <f>SUM(C9:C10)</f>
        <v>0</v>
      </c>
      <c r="D11" s="2"/>
      <c r="E11" s="2"/>
      <c r="F11" s="26"/>
      <c r="G11" s="2"/>
      <c r="H11" s="2"/>
    </row>
    <row r="12" spans="2:11" ht="15.6" x14ac:dyDescent="0.3">
      <c r="B12" s="31"/>
      <c r="C12" s="34"/>
      <c r="D12" s="2"/>
      <c r="E12" s="2"/>
      <c r="F12" s="26"/>
      <c r="G12" s="2"/>
      <c r="H12" s="2"/>
    </row>
    <row r="13" spans="2:11" ht="15.6" x14ac:dyDescent="0.3">
      <c r="B13" s="514" t="str">
        <f>IF(C11&gt;50000,"You are required to report your disposal on your tax return as your proceeds are more than £50,000", "       ")</f>
        <v xml:space="preserve">       </v>
      </c>
      <c r="C13" s="515"/>
      <c r="D13" s="515"/>
      <c r="E13" s="515"/>
      <c r="F13" s="516"/>
      <c r="G13" s="2"/>
      <c r="H13" s="2"/>
    </row>
    <row r="14" spans="2:11" ht="36.75" customHeight="1" x14ac:dyDescent="0.3">
      <c r="B14" s="500" t="str">
        <f>IF(C11&lt;50000,"If you’re not registered for Self Assessment you don’t need to do anything, you are only required to report if taxable gains more than £6,000 or elections to be made.","")</f>
        <v>If you’re not registered for Self Assessment you don’t need to do anything, you are only required to report if taxable gains more than £6,000 or elections to be made.</v>
      </c>
      <c r="C14" s="501"/>
      <c r="D14" s="501"/>
      <c r="E14" s="501"/>
      <c r="F14" s="502"/>
      <c r="G14" s="2"/>
      <c r="H14" s="2"/>
    </row>
    <row r="15" spans="2:11" ht="15.75" hidden="1" customHeight="1" x14ac:dyDescent="0.3">
      <c r="B15" s="500"/>
      <c r="C15" s="501"/>
      <c r="D15" s="501"/>
      <c r="E15" s="501"/>
      <c r="F15" s="502"/>
      <c r="G15" s="2"/>
      <c r="H15" s="2"/>
    </row>
    <row r="16" spans="2:11" ht="15.6" hidden="1" x14ac:dyDescent="0.3">
      <c r="B16" s="31"/>
      <c r="C16" s="2"/>
      <c r="D16" s="2"/>
      <c r="E16" s="2"/>
      <c r="F16" s="26"/>
      <c r="G16" s="2"/>
      <c r="H16" s="2"/>
    </row>
    <row r="17" spans="2:8" ht="15.6" x14ac:dyDescent="0.3">
      <c r="B17" s="27" t="s">
        <v>29</v>
      </c>
      <c r="C17" s="28"/>
      <c r="D17" s="2"/>
      <c r="E17" s="2"/>
      <c r="F17" s="26"/>
      <c r="G17" s="2"/>
      <c r="H17" s="2"/>
    </row>
    <row r="18" spans="2:8" ht="15.6" x14ac:dyDescent="0.3">
      <c r="B18" s="31" t="str">
        <f>B9</f>
        <v>Sales of shares in PA Consulting Group Limited</v>
      </c>
      <c r="C18" s="32">
        <f>F62</f>
        <v>0</v>
      </c>
      <c r="D18" s="2"/>
      <c r="E18" s="2"/>
      <c r="F18" s="26"/>
      <c r="G18" s="2"/>
      <c r="H18" s="2"/>
    </row>
    <row r="19" spans="2:8" ht="15.6" x14ac:dyDescent="0.3">
      <c r="B19" s="31" t="str">
        <f>B10</f>
        <v>Any non-PA chargeable sales you made</v>
      </c>
      <c r="C19" s="33">
        <v>0</v>
      </c>
      <c r="D19" s="2"/>
      <c r="E19" s="2"/>
      <c r="F19" s="26"/>
      <c r="G19" s="2"/>
      <c r="H19" s="2"/>
    </row>
    <row r="20" spans="2:8" ht="15.6" x14ac:dyDescent="0.3">
      <c r="B20" s="31" t="s">
        <v>30</v>
      </c>
      <c r="C20" s="32">
        <f>SUM(C18:C19)</f>
        <v>0</v>
      </c>
      <c r="D20" s="2"/>
      <c r="E20" s="2"/>
      <c r="F20" s="26"/>
      <c r="G20" s="2"/>
      <c r="H20" s="2"/>
    </row>
    <row r="21" spans="2:8" ht="15.6" x14ac:dyDescent="0.3">
      <c r="B21" s="31" t="s">
        <v>31</v>
      </c>
      <c r="C21" s="35"/>
      <c r="D21" s="20"/>
      <c r="E21" s="34"/>
      <c r="F21" s="36"/>
      <c r="G21" s="2"/>
      <c r="H21" s="2"/>
    </row>
    <row r="22" spans="2:8" ht="15.6" x14ac:dyDescent="0.3">
      <c r="B22" s="31" t="s">
        <v>32</v>
      </c>
      <c r="C22" s="35"/>
      <c r="D22" s="2"/>
      <c r="E22" s="34"/>
      <c r="F22" s="36"/>
      <c r="G22" s="2"/>
      <c r="H22" s="2"/>
    </row>
    <row r="23" spans="2:8" ht="15.6" x14ac:dyDescent="0.3">
      <c r="B23" s="31" t="s">
        <v>33</v>
      </c>
      <c r="C23" s="37">
        <v>-3000</v>
      </c>
      <c r="D23" s="2"/>
      <c r="E23" s="34"/>
      <c r="F23" s="38"/>
      <c r="G23" s="2"/>
      <c r="H23" s="2"/>
    </row>
    <row r="24" spans="2:8" ht="15.6" x14ac:dyDescent="0.3">
      <c r="B24" s="31" t="s">
        <v>34</v>
      </c>
      <c r="C24" s="403">
        <f>MAX(0,SUM(C20:C23))</f>
        <v>0</v>
      </c>
      <c r="D24" s="2"/>
      <c r="E24" s="2"/>
      <c r="F24" s="26"/>
      <c r="G24" s="2"/>
      <c r="H24" s="2"/>
    </row>
    <row r="25" spans="2:8" ht="15.6" x14ac:dyDescent="0.3">
      <c r="B25" s="93" t="s">
        <v>194</v>
      </c>
      <c r="C25" s="404">
        <f>'START HERE'!E67</f>
        <v>0.24</v>
      </c>
      <c r="D25" s="94"/>
      <c r="E25" s="94"/>
      <c r="F25" s="95"/>
      <c r="G25" s="2"/>
      <c r="H25" s="2"/>
    </row>
    <row r="26" spans="2:8" ht="15.6" x14ac:dyDescent="0.3">
      <c r="B26" s="93" t="str">
        <f>IF(C24&gt;0,"You must report your gains on your tax return.","You only need report where total disposal proceeds are greater than £50,000 or elections being made.")</f>
        <v>You only need report where total disposal proceeds are greater than £50,000 or elections being made.</v>
      </c>
      <c r="C26" s="94"/>
      <c r="D26" s="94"/>
      <c r="E26" s="94"/>
      <c r="F26" s="95"/>
      <c r="G26" s="2"/>
      <c r="H26" s="2"/>
    </row>
    <row r="27" spans="2:8" ht="15.6" x14ac:dyDescent="0.3">
      <c r="B27" s="25" t="str">
        <f>IF(C24&gt;0,"Tax due by 31 January 2027 on your gains:","")</f>
        <v/>
      </c>
      <c r="C27" s="39" t="str">
        <f>IF(B27="","",ROUND(C24*24%,2))</f>
        <v/>
      </c>
      <c r="D27" s="2"/>
      <c r="E27" s="40">
        <f>SUM(C23,C20)</f>
        <v>-3000</v>
      </c>
      <c r="F27" s="26"/>
      <c r="G27" s="2"/>
      <c r="H27" s="2"/>
    </row>
    <row r="28" spans="2:8" ht="16.2" thickBot="1" x14ac:dyDescent="0.35">
      <c r="B28" s="41"/>
      <c r="C28" s="42"/>
      <c r="D28" s="42"/>
      <c r="E28" s="42"/>
      <c r="F28" s="43"/>
      <c r="G28" s="2"/>
      <c r="H28" s="2"/>
    </row>
    <row r="29" spans="2:8" ht="16.2" thickBot="1" x14ac:dyDescent="0.35">
      <c r="B29" s="2"/>
      <c r="C29" s="2"/>
      <c r="D29" s="2"/>
      <c r="E29" s="2"/>
      <c r="F29" s="2"/>
      <c r="G29" s="2"/>
      <c r="H29" s="2"/>
    </row>
    <row r="30" spans="2:8" ht="32.25" customHeight="1" thickBot="1" x14ac:dyDescent="0.35">
      <c r="B30" s="517" t="s">
        <v>101</v>
      </c>
      <c r="C30" s="518"/>
      <c r="D30" s="518"/>
      <c r="E30" s="518"/>
      <c r="F30" s="519"/>
      <c r="G30" s="2"/>
      <c r="H30" s="2"/>
    </row>
    <row r="31" spans="2:8" ht="15.6" x14ac:dyDescent="0.3">
      <c r="B31" s="2"/>
      <c r="C31" s="2"/>
      <c r="D31" s="2"/>
      <c r="E31" s="2"/>
      <c r="F31" s="2"/>
      <c r="G31" s="2"/>
      <c r="H31" s="2"/>
    </row>
    <row r="32" spans="2:8" ht="35.25" customHeight="1" x14ac:dyDescent="0.3">
      <c r="B32" s="520" t="s">
        <v>102</v>
      </c>
      <c r="C32" s="520"/>
      <c r="D32" s="520"/>
      <c r="E32" s="520"/>
      <c r="F32" s="520"/>
      <c r="G32" s="2"/>
      <c r="H32" s="2"/>
    </row>
    <row r="33" spans="2:15" ht="17.25" customHeight="1" x14ac:dyDescent="0.3">
      <c r="B33" s="44"/>
      <c r="C33" s="44"/>
      <c r="D33" s="44"/>
      <c r="E33" s="44"/>
      <c r="F33" s="44"/>
      <c r="G33" s="2"/>
      <c r="H33" s="2"/>
    </row>
    <row r="34" spans="2:15" ht="21" x14ac:dyDescent="0.4">
      <c r="B34" s="45" t="s">
        <v>103</v>
      </c>
      <c r="C34" s="46"/>
      <c r="D34" s="47"/>
      <c r="E34" s="48"/>
      <c r="F34" s="49"/>
      <c r="G34" s="2"/>
      <c r="H34" s="2"/>
    </row>
    <row r="35" spans="2:15" ht="15.6" x14ac:dyDescent="0.3">
      <c r="B35" s="510" t="s">
        <v>104</v>
      </c>
      <c r="C35" s="510"/>
      <c r="D35" s="510"/>
      <c r="E35" s="506">
        <f>COUNT(C59:C61)</f>
        <v>0</v>
      </c>
      <c r="F35" s="506"/>
      <c r="G35" s="2"/>
      <c r="H35" s="2"/>
    </row>
    <row r="36" spans="2:15" ht="15.6" x14ac:dyDescent="0.3">
      <c r="B36" s="510" t="s">
        <v>105</v>
      </c>
      <c r="C36" s="510"/>
      <c r="D36" s="510"/>
      <c r="E36" s="499">
        <f>ROUNDDOWN(E62,0)</f>
        <v>0</v>
      </c>
      <c r="F36" s="499"/>
      <c r="G36" s="2"/>
      <c r="H36" s="2"/>
    </row>
    <row r="37" spans="2:15" ht="15.6" x14ac:dyDescent="0.3">
      <c r="B37" s="510" t="s">
        <v>106</v>
      </c>
      <c r="C37" s="510"/>
      <c r="D37" s="510"/>
      <c r="E37" s="499">
        <f>E36-E38</f>
        <v>0</v>
      </c>
      <c r="F37" s="499"/>
      <c r="G37" s="2"/>
      <c r="H37" s="2"/>
    </row>
    <row r="38" spans="2:15" ht="15.6" x14ac:dyDescent="0.3">
      <c r="B38" s="510" t="s">
        <v>107</v>
      </c>
      <c r="C38" s="510"/>
      <c r="D38" s="510"/>
      <c r="E38" s="499">
        <f>ROUNDDOWN(F62,0)</f>
        <v>0</v>
      </c>
      <c r="F38" s="499"/>
      <c r="G38" s="2"/>
      <c r="H38" s="2"/>
    </row>
    <row r="39" spans="2:15" ht="15.6" x14ac:dyDescent="0.3">
      <c r="B39" s="510" t="s">
        <v>108</v>
      </c>
      <c r="C39" s="510"/>
      <c r="D39" s="510"/>
      <c r="E39" s="499" t="s">
        <v>109</v>
      </c>
      <c r="F39" s="499"/>
      <c r="G39" s="2"/>
      <c r="H39" s="2"/>
    </row>
    <row r="40" spans="2:15" ht="15.6" x14ac:dyDescent="0.3">
      <c r="B40" s="510" t="s">
        <v>110</v>
      </c>
      <c r="C40" s="510"/>
      <c r="D40" s="510"/>
      <c r="E40" s="499" t="s">
        <v>109</v>
      </c>
      <c r="F40" s="499"/>
      <c r="G40" s="2"/>
      <c r="H40" s="2"/>
    </row>
    <row r="41" spans="2:15" ht="15.6" x14ac:dyDescent="0.3">
      <c r="B41" s="2"/>
      <c r="C41" s="46"/>
      <c r="D41" s="47"/>
      <c r="E41" s="48"/>
      <c r="F41" s="49"/>
      <c r="G41" s="2"/>
      <c r="H41" s="2"/>
    </row>
    <row r="42" spans="2:15" ht="21" x14ac:dyDescent="0.4">
      <c r="B42" s="45" t="s">
        <v>111</v>
      </c>
      <c r="C42" s="46"/>
      <c r="D42" s="47"/>
      <c r="E42" s="48"/>
      <c r="F42" s="49"/>
      <c r="G42" s="2"/>
      <c r="H42" s="2"/>
    </row>
    <row r="43" spans="2:15" ht="15.6" x14ac:dyDescent="0.3">
      <c r="B43" s="510" t="s">
        <v>112</v>
      </c>
      <c r="C43" s="510"/>
      <c r="D43" s="510"/>
      <c r="E43" s="506" t="s">
        <v>113</v>
      </c>
      <c r="F43" s="506"/>
      <c r="G43" s="2"/>
      <c r="H43" s="2"/>
    </row>
    <row r="44" spans="2:15" ht="15.6" x14ac:dyDescent="0.3">
      <c r="B44" s="510" t="s">
        <v>114</v>
      </c>
      <c r="C44" s="510"/>
      <c r="D44" s="510"/>
      <c r="E44" s="506" t="s">
        <v>115</v>
      </c>
      <c r="F44" s="506"/>
      <c r="G44" s="2"/>
      <c r="H44" s="2"/>
    </row>
    <row r="45" spans="2:15" ht="15.6" x14ac:dyDescent="0.3">
      <c r="B45" s="510" t="s">
        <v>116</v>
      </c>
      <c r="C45" s="510"/>
      <c r="D45" s="510"/>
      <c r="E45" s="506" t="s">
        <v>115</v>
      </c>
      <c r="F45" s="506"/>
      <c r="G45" s="2"/>
      <c r="H45" s="2"/>
    </row>
    <row r="46" spans="2:15" ht="15.6" x14ac:dyDescent="0.3">
      <c r="B46" s="510" t="s">
        <v>117</v>
      </c>
      <c r="C46" s="510"/>
      <c r="D46" s="510"/>
      <c r="E46" s="499">
        <f>C21</f>
        <v>0</v>
      </c>
      <c r="F46" s="499"/>
      <c r="G46" s="2"/>
      <c r="H46" s="2"/>
    </row>
    <row r="47" spans="2:15" s="50" customFormat="1" ht="69" customHeight="1" x14ac:dyDescent="0.3">
      <c r="B47" s="498" t="s">
        <v>118</v>
      </c>
      <c r="C47" s="498"/>
      <c r="D47" s="498"/>
      <c r="E47" s="511" t="s">
        <v>119</v>
      </c>
      <c r="F47" s="511"/>
      <c r="G47" s="51"/>
      <c r="H47" s="51"/>
      <c r="I47" s="110"/>
      <c r="J47" s="1"/>
      <c r="K47" s="1"/>
      <c r="L47" s="1"/>
      <c r="M47" s="1"/>
      <c r="N47" s="1"/>
      <c r="O47" s="1"/>
    </row>
    <row r="48" spans="2:15" ht="15.6" x14ac:dyDescent="0.3">
      <c r="B48" s="498" t="s">
        <v>120</v>
      </c>
      <c r="C48" s="498"/>
      <c r="D48" s="498"/>
      <c r="E48" s="499">
        <f>C22</f>
        <v>0</v>
      </c>
      <c r="F48" s="499"/>
      <c r="G48" s="2"/>
      <c r="H48" s="2"/>
    </row>
    <row r="49" spans="2:18" ht="15.75" customHeight="1" x14ac:dyDescent="0.3">
      <c r="B49" s="498" t="s">
        <v>121</v>
      </c>
      <c r="C49" s="498"/>
      <c r="D49" s="498"/>
      <c r="E49" s="506" t="s">
        <v>115</v>
      </c>
      <c r="F49" s="506"/>
      <c r="G49" s="2"/>
      <c r="H49" s="2"/>
    </row>
    <row r="50" spans="2:18" ht="15.75" customHeight="1" x14ac:dyDescent="0.3">
      <c r="B50" s="498" t="s">
        <v>122</v>
      </c>
      <c r="C50" s="498"/>
      <c r="D50" s="498"/>
      <c r="E50" s="506" t="s">
        <v>115</v>
      </c>
      <c r="F50" s="506"/>
      <c r="G50" s="2"/>
      <c r="H50" s="2"/>
    </row>
    <row r="51" spans="2:18" ht="15.75" customHeight="1" x14ac:dyDescent="0.3">
      <c r="B51" s="498" t="s">
        <v>123</v>
      </c>
      <c r="C51" s="498"/>
      <c r="D51" s="498"/>
      <c r="E51" s="506" t="s">
        <v>115</v>
      </c>
      <c r="F51" s="506"/>
      <c r="G51" s="2"/>
      <c r="H51" s="2"/>
    </row>
    <row r="52" spans="2:18" s="50" customFormat="1" ht="15.6" customHeight="1" x14ac:dyDescent="0.3">
      <c r="B52" s="498" t="s">
        <v>124</v>
      </c>
      <c r="C52" s="498"/>
      <c r="D52" s="498"/>
      <c r="E52" s="499" t="str">
        <f>IFERROR(IF((#REF!+#REF!+C19-C21+C23)&lt;0,(#REF!+#REF!+C19-C21),0),"-")</f>
        <v>-</v>
      </c>
      <c r="F52" s="499"/>
      <c r="G52" s="51"/>
      <c r="H52" s="51"/>
      <c r="I52" s="110"/>
      <c r="J52" s="1"/>
      <c r="K52" s="1"/>
      <c r="L52" s="1"/>
      <c r="M52" s="1"/>
      <c r="N52" s="1"/>
      <c r="O52" s="1"/>
    </row>
    <row r="53" spans="2:18" ht="15.6" x14ac:dyDescent="0.3">
      <c r="B53" s="52"/>
      <c r="C53" s="53"/>
      <c r="D53" s="54"/>
      <c r="E53" s="54"/>
      <c r="F53" s="49"/>
      <c r="G53" s="2"/>
      <c r="H53" s="2"/>
    </row>
    <row r="54" spans="2:18" s="100" customFormat="1" ht="30.75" customHeight="1" x14ac:dyDescent="0.4">
      <c r="B54" s="98" t="s">
        <v>125</v>
      </c>
      <c r="C54" s="99"/>
      <c r="D54" s="99"/>
      <c r="E54" s="99"/>
      <c r="F54" s="99"/>
      <c r="G54" s="99"/>
      <c r="H54" s="99"/>
      <c r="I54" s="109"/>
      <c r="J54" s="113"/>
      <c r="K54" s="113"/>
      <c r="L54" s="113"/>
      <c r="M54" s="113"/>
      <c r="N54" s="113"/>
      <c r="O54" s="113"/>
    </row>
    <row r="55" spans="2:18" ht="15.6" x14ac:dyDescent="0.3">
      <c r="B55" s="55" t="s">
        <v>126</v>
      </c>
      <c r="C55" s="2"/>
      <c r="D55" s="2"/>
      <c r="E55" s="2"/>
      <c r="F55" s="2"/>
      <c r="G55" s="2"/>
      <c r="H55" s="2"/>
    </row>
    <row r="56" spans="2:18" ht="16.2" thickBot="1" x14ac:dyDescent="0.35">
      <c r="B56" s="55"/>
      <c r="C56" s="2"/>
      <c r="D56" s="2"/>
      <c r="E56" s="2"/>
      <c r="F56" s="2"/>
      <c r="G56" s="2"/>
      <c r="H56" t="s">
        <v>150</v>
      </c>
    </row>
    <row r="57" spans="2:18" ht="23.4" x14ac:dyDescent="0.45">
      <c r="B57" s="281" t="s">
        <v>164</v>
      </c>
      <c r="C57" s="23"/>
      <c r="D57" s="23"/>
      <c r="E57" s="23"/>
      <c r="F57" s="447">
        <f>'Share Unit Pool'!E2</f>
        <v>0</v>
      </c>
      <c r="G57" s="2"/>
      <c r="H57" s="343">
        <f>'20 March 2026 Sale'!C30</f>
        <v>0</v>
      </c>
      <c r="N57" s="261"/>
      <c r="O57" s="261"/>
      <c r="P57" s="262"/>
    </row>
    <row r="58" spans="2:18" s="63" customFormat="1" ht="30" customHeight="1" x14ac:dyDescent="0.3">
      <c r="B58" s="115" t="s">
        <v>127</v>
      </c>
      <c r="C58" s="254" t="s">
        <v>128</v>
      </c>
      <c r="D58" s="254" t="s">
        <v>129</v>
      </c>
      <c r="E58" s="254" t="s">
        <v>130</v>
      </c>
      <c r="F58" s="116" t="s">
        <v>131</v>
      </c>
      <c r="G58" s="94"/>
      <c r="H58" s="319" t="s">
        <v>159</v>
      </c>
      <c r="I58" s="320"/>
      <c r="J58" s="321" t="s">
        <v>132</v>
      </c>
      <c r="K58" s="322"/>
      <c r="L58" s="322"/>
      <c r="M58" s="322"/>
      <c r="N58" s="321"/>
      <c r="O58" s="321"/>
      <c r="P58" s="322"/>
    </row>
    <row r="59" spans="2:18" s="63" customFormat="1" ht="40.200000000000003" customHeight="1" x14ac:dyDescent="0.3">
      <c r="B59" s="93" t="str">
        <f>IF(D59&gt;0,$J59,"")</f>
        <v/>
      </c>
      <c r="C59" s="255" t="str">
        <f>IF(D59=0,"",I59)</f>
        <v/>
      </c>
      <c r="D59" s="256">
        <f>'START HERE'!C45</f>
        <v>0</v>
      </c>
      <c r="E59" s="373">
        <f>MAX(0,'START HERE'!I45)</f>
        <v>0</v>
      </c>
      <c r="F59" s="257">
        <f>E59-H59</f>
        <v>0</v>
      </c>
      <c r="G59" s="94"/>
      <c r="H59" s="323">
        <f>'START HERE'!I52</f>
        <v>0</v>
      </c>
      <c r="I59" s="320">
        <v>46101</v>
      </c>
      <c r="J59" s="324" t="s">
        <v>5</v>
      </c>
      <c r="K59" s="325">
        <v>914</v>
      </c>
      <c r="L59" s="325">
        <v>917</v>
      </c>
      <c r="M59" s="325">
        <v>920</v>
      </c>
      <c r="N59" s="322"/>
      <c r="O59" s="322"/>
      <c r="P59" s="322"/>
    </row>
    <row r="60" spans="2:18" s="63" customFormat="1" ht="40.200000000000003" customHeight="1" x14ac:dyDescent="0.3">
      <c r="B60" s="93" t="str">
        <f>IF(D60&gt;0,$J60,"")</f>
        <v/>
      </c>
      <c r="C60" s="255" t="str">
        <f>IF(D60=0,"",I60)</f>
        <v/>
      </c>
      <c r="D60" s="256">
        <f>'START HERE'!C46</f>
        <v>0</v>
      </c>
      <c r="E60" s="373">
        <f>MAX(0,'START HERE'!I46)</f>
        <v>0</v>
      </c>
      <c r="F60" s="257">
        <f>E60-H60</f>
        <v>0</v>
      </c>
      <c r="G60" s="94"/>
      <c r="H60" s="323">
        <f>'START HERE'!I53</f>
        <v>0</v>
      </c>
      <c r="I60" s="320">
        <v>46101</v>
      </c>
      <c r="J60" s="324" t="s">
        <v>6</v>
      </c>
      <c r="K60" s="325">
        <v>915</v>
      </c>
      <c r="L60" s="325">
        <v>918</v>
      </c>
      <c r="M60" s="325">
        <v>921</v>
      </c>
      <c r="N60" s="322"/>
      <c r="O60" s="322"/>
      <c r="P60" s="322"/>
    </row>
    <row r="61" spans="2:18" s="63" customFormat="1" ht="40.200000000000003" customHeight="1" x14ac:dyDescent="0.3">
      <c r="B61" s="93" t="str">
        <f>IF(D61&gt;0,$J61,"")</f>
        <v/>
      </c>
      <c r="C61" s="255" t="str">
        <f>IF(D61=0,"",I61)</f>
        <v/>
      </c>
      <c r="D61" s="256">
        <f>'START HERE'!C47</f>
        <v>0</v>
      </c>
      <c r="E61" s="373">
        <f>MAX(0,'START HERE'!I47)</f>
        <v>0</v>
      </c>
      <c r="F61" s="257">
        <f>E61-H61</f>
        <v>0</v>
      </c>
      <c r="G61" s="94"/>
      <c r="H61" s="323">
        <f>'START HERE'!I54</f>
        <v>0</v>
      </c>
      <c r="I61" s="320">
        <v>46101</v>
      </c>
      <c r="J61" s="326" t="s">
        <v>2</v>
      </c>
      <c r="K61" s="325">
        <v>920</v>
      </c>
      <c r="L61" s="325">
        <v>921</v>
      </c>
      <c r="M61" s="325"/>
      <c r="N61" s="322"/>
      <c r="O61" s="322"/>
      <c r="P61" s="322"/>
    </row>
    <row r="62" spans="2:18" s="63" customFormat="1" ht="40.200000000000003" customHeight="1" x14ac:dyDescent="0.3">
      <c r="B62" s="93" t="s">
        <v>133</v>
      </c>
      <c r="C62" s="46"/>
      <c r="D62" s="258">
        <f>SUM(D59:D61)</f>
        <v>0</v>
      </c>
      <c r="E62" s="374">
        <f>SUM(E59:E61)</f>
        <v>0</v>
      </c>
      <c r="F62" s="259">
        <f>SUM(F59:F61)</f>
        <v>0</v>
      </c>
      <c r="G62" s="94"/>
      <c r="H62" s="327">
        <f>SUM(H59:H61)</f>
        <v>0</v>
      </c>
      <c r="I62" s="320"/>
      <c r="J62" s="322"/>
      <c r="K62" s="322"/>
      <c r="L62" s="322"/>
      <c r="M62" s="322"/>
      <c r="N62" s="322"/>
      <c r="O62" s="322"/>
      <c r="P62" s="322"/>
      <c r="R62" s="207"/>
    </row>
    <row r="63" spans="2:18" s="63" customFormat="1" ht="30" hidden="1" customHeight="1" x14ac:dyDescent="0.3">
      <c r="B63" s="93"/>
      <c r="C63" s="46"/>
      <c r="D63" s="47"/>
      <c r="E63" s="260"/>
      <c r="F63" s="56"/>
      <c r="G63" s="94"/>
      <c r="H63" s="117"/>
      <c r="I63" s="111"/>
      <c r="J63" s="114"/>
    </row>
    <row r="64" spans="2:18" s="63" customFormat="1" ht="30" hidden="1" customHeight="1" x14ac:dyDescent="0.3">
      <c r="B64" s="500"/>
      <c r="C64" s="501"/>
      <c r="D64" s="501"/>
      <c r="E64" s="501"/>
      <c r="F64" s="502"/>
      <c r="G64" s="94"/>
      <c r="H64" s="94"/>
      <c r="I64" s="111"/>
      <c r="J64" s="114"/>
    </row>
    <row r="65" spans="1:10" s="63" customFormat="1" ht="30" customHeight="1" x14ac:dyDescent="0.3">
      <c r="B65" s="214"/>
      <c r="C65" s="44"/>
      <c r="D65" s="44"/>
      <c r="E65" s="44"/>
      <c r="F65" s="215"/>
      <c r="G65" s="94"/>
      <c r="H65" s="94"/>
      <c r="I65" s="111"/>
      <c r="J65" s="114"/>
    </row>
    <row r="66" spans="1:10" s="63" customFormat="1" ht="62.4" customHeight="1" x14ac:dyDescent="0.3">
      <c r="B66" s="507" t="str">
        <f>IF(H57=H56,B71,"")</f>
        <v/>
      </c>
      <c r="C66" s="508"/>
      <c r="D66" s="508"/>
      <c r="E66" s="508"/>
      <c r="F66" s="509"/>
      <c r="G66" s="94"/>
      <c r="H66" s="94"/>
      <c r="I66" s="111"/>
      <c r="J66" s="114"/>
    </row>
    <row r="67" spans="1:10" s="63" customFormat="1" ht="80.400000000000006" customHeight="1" x14ac:dyDescent="0.3">
      <c r="B67" s="507" t="str">
        <f>IF(H57=H56,B72,"")</f>
        <v/>
      </c>
      <c r="C67" s="508"/>
      <c r="D67" s="508"/>
      <c r="E67" s="508"/>
      <c r="F67" s="509"/>
      <c r="G67" s="94"/>
      <c r="H67" s="94"/>
      <c r="I67" s="111"/>
      <c r="J67" s="114"/>
    </row>
    <row r="68" spans="1:10" s="63" customFormat="1" ht="30" customHeight="1" thickBot="1" x14ac:dyDescent="0.35">
      <c r="B68" s="503"/>
      <c r="C68" s="504"/>
      <c r="D68" s="504"/>
      <c r="E68" s="504"/>
      <c r="F68" s="505"/>
      <c r="G68" s="94"/>
      <c r="H68" s="94"/>
      <c r="I68" s="109"/>
    </row>
    <row r="69" spans="1:10" ht="15.6" x14ac:dyDescent="0.3">
      <c r="B69" s="2"/>
      <c r="C69" s="46"/>
      <c r="D69" s="47"/>
      <c r="E69" s="48"/>
      <c r="F69" s="49"/>
      <c r="G69" s="2"/>
      <c r="H69" s="2"/>
    </row>
    <row r="70" spans="1:10" ht="15.6" x14ac:dyDescent="0.3">
      <c r="B70" s="399" t="s">
        <v>173</v>
      </c>
      <c r="C70" s="46"/>
      <c r="D70" s="47"/>
      <c r="E70" s="48"/>
      <c r="F70" s="49"/>
      <c r="G70" s="2"/>
      <c r="H70" s="2"/>
    </row>
    <row r="71" spans="1:10" ht="15.6" x14ac:dyDescent="0.3">
      <c r="B71" s="400" t="s">
        <v>172</v>
      </c>
      <c r="C71" s="2"/>
      <c r="D71" s="2"/>
      <c r="E71" s="2"/>
      <c r="F71" s="2"/>
      <c r="G71" s="2"/>
    </row>
    <row r="72" spans="1:10" ht="15.6" x14ac:dyDescent="0.3">
      <c r="B72" s="400" t="s">
        <v>192</v>
      </c>
      <c r="C72" s="2"/>
      <c r="D72" s="2"/>
      <c r="E72" s="2"/>
      <c r="F72" s="2"/>
    </row>
    <row r="73" spans="1:10" ht="15.6" x14ac:dyDescent="0.3">
      <c r="A73" s="57"/>
      <c r="B73" s="401"/>
      <c r="C73" s="58"/>
      <c r="D73" s="58"/>
      <c r="E73" s="58"/>
      <c r="F73" s="58"/>
      <c r="H73" s="58"/>
    </row>
    <row r="74" spans="1:10" ht="15.6" x14ac:dyDescent="0.3">
      <c r="B74" s="399" t="s">
        <v>174</v>
      </c>
      <c r="C74" s="15"/>
      <c r="D74" s="15"/>
      <c r="E74" s="2"/>
      <c r="G74" s="58"/>
      <c r="H74" s="15"/>
    </row>
    <row r="75" spans="1:10" ht="15.6" x14ac:dyDescent="0.3">
      <c r="B75" s="400" t="s">
        <v>175</v>
      </c>
      <c r="C75" s="2"/>
      <c r="E75" s="15"/>
      <c r="F75" s="15"/>
      <c r="G75" s="15"/>
      <c r="H75" s="15"/>
    </row>
    <row r="76" spans="1:10" ht="15.6" x14ac:dyDescent="0.3">
      <c r="B76" s="360"/>
      <c r="C76" s="15"/>
      <c r="D76" s="59"/>
      <c r="E76" s="2"/>
      <c r="G76" s="15"/>
      <c r="H76" s="15"/>
    </row>
    <row r="77" spans="1:10" ht="15.6" x14ac:dyDescent="0.3">
      <c r="B77" s="60"/>
    </row>
    <row r="78" spans="1:10" ht="15.6" x14ac:dyDescent="0.3">
      <c r="B78" s="60"/>
    </row>
    <row r="79" spans="1:10" ht="15.6" x14ac:dyDescent="0.3">
      <c r="B79" s="60"/>
    </row>
    <row r="80" spans="1:10" ht="15.6" x14ac:dyDescent="0.3">
      <c r="B80" s="60"/>
    </row>
    <row r="81" spans="2:2" ht="15.6" x14ac:dyDescent="0.3">
      <c r="B81" s="60"/>
    </row>
    <row r="82" spans="2:2" ht="15.6" x14ac:dyDescent="0.3">
      <c r="B82" s="60"/>
    </row>
    <row r="83" spans="2:2" ht="15.6" x14ac:dyDescent="0.3">
      <c r="B83" s="60"/>
    </row>
    <row r="84" spans="2:2" ht="15.6" x14ac:dyDescent="0.3">
      <c r="B84" s="60"/>
    </row>
    <row r="85" spans="2:2" ht="15.6" x14ac:dyDescent="0.3">
      <c r="B85" s="60"/>
    </row>
    <row r="86" spans="2:2" ht="15.6" x14ac:dyDescent="0.3">
      <c r="B86" s="60"/>
    </row>
    <row r="87" spans="2:2" ht="15.6" x14ac:dyDescent="0.3">
      <c r="B87" s="60"/>
    </row>
    <row r="88" spans="2:2" ht="15.6" x14ac:dyDescent="0.3">
      <c r="B88" s="60"/>
    </row>
    <row r="89" spans="2:2" ht="15.6" x14ac:dyDescent="0.3">
      <c r="B89" s="60"/>
    </row>
    <row r="90" spans="2:2" ht="15.6" x14ac:dyDescent="0.3">
      <c r="B90" s="60"/>
    </row>
    <row r="91" spans="2:2" ht="15.6" x14ac:dyDescent="0.3">
      <c r="B91" s="60"/>
    </row>
    <row r="92" spans="2:2" ht="15.6" x14ac:dyDescent="0.3">
      <c r="B92" s="60"/>
    </row>
    <row r="93" spans="2:2" ht="15.6" x14ac:dyDescent="0.3">
      <c r="B93" s="60"/>
    </row>
    <row r="94" spans="2:2" ht="15.6" x14ac:dyDescent="0.3">
      <c r="B94" s="60"/>
    </row>
    <row r="95" spans="2:2" ht="15.6" x14ac:dyDescent="0.3">
      <c r="B95" s="60"/>
    </row>
    <row r="96" spans="2:2" ht="15.6" x14ac:dyDescent="0.3">
      <c r="B96" s="60"/>
    </row>
    <row r="97" spans="2:2" ht="15.6" x14ac:dyDescent="0.3">
      <c r="B97" s="60"/>
    </row>
    <row r="98" spans="2:2" ht="15.6" x14ac:dyDescent="0.3">
      <c r="B98" s="60"/>
    </row>
    <row r="99" spans="2:2" ht="15.6" x14ac:dyDescent="0.3">
      <c r="B99" s="60"/>
    </row>
    <row r="100" spans="2:2" ht="15.6" x14ac:dyDescent="0.3">
      <c r="B100" s="60"/>
    </row>
    <row r="101" spans="2:2" ht="15.6" x14ac:dyDescent="0.3">
      <c r="B101" s="60"/>
    </row>
    <row r="102" spans="2:2" ht="15.6" x14ac:dyDescent="0.3">
      <c r="B102" s="60"/>
    </row>
    <row r="103" spans="2:2" ht="15.6" x14ac:dyDescent="0.3">
      <c r="B103" s="60"/>
    </row>
    <row r="104" spans="2:2" ht="15.6" x14ac:dyDescent="0.3">
      <c r="B104" s="60"/>
    </row>
    <row r="105" spans="2:2" ht="15.6" x14ac:dyDescent="0.3">
      <c r="B105" s="60"/>
    </row>
    <row r="106" spans="2:2" ht="15.6" x14ac:dyDescent="0.3">
      <c r="B106" s="60"/>
    </row>
    <row r="107" spans="2:2" ht="15.6" x14ac:dyDescent="0.3">
      <c r="B107" s="60"/>
    </row>
    <row r="108" spans="2:2" ht="15.6" x14ac:dyDescent="0.3">
      <c r="B108" s="60"/>
    </row>
    <row r="109" spans="2:2" ht="15.6" x14ac:dyDescent="0.3">
      <c r="B109" s="60"/>
    </row>
    <row r="110" spans="2:2" ht="15.6" x14ac:dyDescent="0.3">
      <c r="B110" s="60"/>
    </row>
    <row r="111" spans="2:2" ht="15.6" x14ac:dyDescent="0.3">
      <c r="B111" s="60"/>
    </row>
    <row r="112" spans="2:2" ht="15.6" x14ac:dyDescent="0.3">
      <c r="B112" s="60"/>
    </row>
    <row r="113" spans="2:2" ht="15.6" x14ac:dyDescent="0.3">
      <c r="B113" s="60"/>
    </row>
    <row r="114" spans="2:2" ht="15.6" x14ac:dyDescent="0.3">
      <c r="B114" s="60"/>
    </row>
    <row r="115" spans="2:2" ht="15.6" x14ac:dyDescent="0.3">
      <c r="B115" s="60"/>
    </row>
    <row r="116" spans="2:2" ht="15.6" x14ac:dyDescent="0.3">
      <c r="B116" s="60"/>
    </row>
    <row r="117" spans="2:2" ht="15.6" x14ac:dyDescent="0.3">
      <c r="B117" s="60"/>
    </row>
    <row r="118" spans="2:2" ht="15.6" x14ac:dyDescent="0.3">
      <c r="B118" s="61"/>
    </row>
    <row r="119" spans="2:2" ht="15.6" x14ac:dyDescent="0.3">
      <c r="B119" s="61"/>
    </row>
    <row r="120" spans="2:2" ht="15.6" x14ac:dyDescent="0.3">
      <c r="B120" s="61"/>
    </row>
    <row r="121" spans="2:2" ht="15.6" x14ac:dyDescent="0.3">
      <c r="B121" s="61"/>
    </row>
    <row r="122" spans="2:2" ht="15.6" x14ac:dyDescent="0.3">
      <c r="B122" s="61"/>
    </row>
  </sheetData>
  <mergeCells count="42">
    <mergeCell ref="B37:D37"/>
    <mergeCell ref="E37:F37"/>
    <mergeCell ref="B2:J2"/>
    <mergeCell ref="B13:F13"/>
    <mergeCell ref="B14:F14"/>
    <mergeCell ref="B15:F15"/>
    <mergeCell ref="B30:F30"/>
    <mergeCell ref="B32:F32"/>
    <mergeCell ref="B35:D35"/>
    <mergeCell ref="E35:F35"/>
    <mergeCell ref="B36:D36"/>
    <mergeCell ref="E36:F36"/>
    <mergeCell ref="B38:D38"/>
    <mergeCell ref="E38:F38"/>
    <mergeCell ref="B39:D39"/>
    <mergeCell ref="E39:F39"/>
    <mergeCell ref="B40:D40"/>
    <mergeCell ref="E40:F40"/>
    <mergeCell ref="B43:D43"/>
    <mergeCell ref="E43:F43"/>
    <mergeCell ref="B44:D44"/>
    <mergeCell ref="E44:F44"/>
    <mergeCell ref="B45:D45"/>
    <mergeCell ref="E45:F45"/>
    <mergeCell ref="B46:D46"/>
    <mergeCell ref="E46:F46"/>
    <mergeCell ref="B47:D47"/>
    <mergeCell ref="E47:F47"/>
    <mergeCell ref="B48:D48"/>
    <mergeCell ref="E48:F48"/>
    <mergeCell ref="B52:D52"/>
    <mergeCell ref="E52:F52"/>
    <mergeCell ref="B64:F64"/>
    <mergeCell ref="B68:F68"/>
    <mergeCell ref="B49:D49"/>
    <mergeCell ref="E49:F49"/>
    <mergeCell ref="B50:D50"/>
    <mergeCell ref="E50:F50"/>
    <mergeCell ref="B51:D51"/>
    <mergeCell ref="E51:F51"/>
    <mergeCell ref="B66:F66"/>
    <mergeCell ref="B67:F67"/>
  </mergeCells>
  <dataValidations count="1">
    <dataValidation allowBlank="1" showInputMessage="1" showErrorMessage="1" promptTitle="Enter as negative number" sqref="E21:E23" xr:uid="{B942926F-8A01-4F71-919B-F7A0FED17475}"/>
  </dataValidations>
  <pageMargins left="0.31496062992125984" right="0.31496062992125984" top="0.74803149606299213" bottom="0.74803149606299213" header="0.31496062992125984" footer="0.31496062992125984"/>
  <pageSetup paperSize="9" scale="74"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50083-24FE-4078-A838-D4EF2D124040}">
  <sheetPr codeName="Sheet2"/>
  <dimension ref="B1:AA94"/>
  <sheetViews>
    <sheetView zoomScaleNormal="100" workbookViewId="0">
      <pane ySplit="6" topLeftCell="A7" activePane="bottomLeft" state="frozen"/>
      <selection activeCell="D1" sqref="D1"/>
      <selection pane="bottomLeft" activeCell="F7" sqref="F7"/>
    </sheetView>
  </sheetViews>
  <sheetFormatPr defaultRowHeight="14.4" x14ac:dyDescent="0.3"/>
  <cols>
    <col min="1" max="1" width="2.33203125" customWidth="1"/>
    <col min="2" max="2" width="32.33203125" customWidth="1"/>
    <col min="3" max="4" width="7.33203125" customWidth="1"/>
    <col min="5" max="5" width="14.33203125" bestFit="1" customWidth="1"/>
    <col min="6" max="6" width="10.5546875" customWidth="1"/>
    <col min="7" max="7" width="13.33203125" bestFit="1" customWidth="1"/>
    <col min="8" max="8" width="15.33203125" customWidth="1"/>
    <col min="9" max="9" width="13.6640625" customWidth="1"/>
    <col min="10" max="10" width="13.44140625" bestFit="1" customWidth="1"/>
    <col min="11" max="11" width="9.33203125" bestFit="1" customWidth="1"/>
    <col min="12" max="12" width="9.5546875" bestFit="1" customWidth="1"/>
    <col min="13" max="13" width="12.33203125" customWidth="1"/>
    <col min="14" max="14" width="13.33203125" customWidth="1"/>
    <col min="15" max="15" width="13.6640625" customWidth="1"/>
    <col min="16" max="16" width="14.6640625" customWidth="1"/>
    <col min="17" max="17" width="11.5546875" style="87" bestFit="1" customWidth="1"/>
    <col min="18" max="18" width="11.6640625" customWidth="1"/>
    <col min="19" max="19" width="12.6640625" customWidth="1"/>
    <col min="20" max="20" width="9.33203125" bestFit="1" customWidth="1"/>
    <col min="21" max="21" width="9.5546875" bestFit="1" customWidth="1"/>
    <col min="22" max="22" width="12.33203125" bestFit="1" customWidth="1"/>
  </cols>
  <sheetData>
    <row r="1" spans="2:27" ht="18" x14ac:dyDescent="0.3">
      <c r="B1" s="3" t="s">
        <v>35</v>
      </c>
      <c r="C1" s="4"/>
      <c r="D1" s="4"/>
      <c r="E1" s="4"/>
      <c r="F1" s="5"/>
      <c r="G1" s="5"/>
      <c r="H1" s="5"/>
      <c r="I1" s="5"/>
      <c r="J1" s="5"/>
      <c r="K1" s="5"/>
      <c r="L1" s="5"/>
      <c r="M1" s="5"/>
      <c r="N1" s="5"/>
      <c r="O1" s="6"/>
      <c r="P1" s="6"/>
      <c r="Q1" s="85"/>
      <c r="R1" s="5"/>
      <c r="S1" s="5"/>
      <c r="T1" s="6"/>
      <c r="U1" s="6"/>
      <c r="V1" s="6"/>
    </row>
    <row r="2" spans="2:27" s="10" customFormat="1" ht="20.100000000000001" customHeight="1" x14ac:dyDescent="0.25">
      <c r="B2" s="7" t="s">
        <v>36</v>
      </c>
      <c r="D2" s="7"/>
      <c r="E2" s="7">
        <f>'Data Share Units'!B6</f>
        <v>0</v>
      </c>
      <c r="F2" s="8"/>
      <c r="G2" s="8"/>
      <c r="H2" s="435" t="s">
        <v>204</v>
      </c>
      <c r="I2" s="171"/>
      <c r="J2" s="171"/>
      <c r="K2" s="171"/>
      <c r="L2" s="8"/>
      <c r="M2" s="8"/>
      <c r="N2" s="8"/>
      <c r="O2" s="9"/>
      <c r="P2" s="9"/>
      <c r="Q2" s="86"/>
      <c r="R2" s="8"/>
      <c r="S2" s="8"/>
      <c r="T2" s="9"/>
      <c r="U2" s="9"/>
      <c r="V2" s="9"/>
    </row>
    <row r="3" spans="2:27" s="10" customFormat="1" ht="18" customHeight="1" x14ac:dyDescent="0.25">
      <c r="B3" s="7" t="s">
        <v>37</v>
      </c>
      <c r="D3" s="7"/>
      <c r="E3" s="7">
        <f>'Data Share Units'!C6</f>
        <v>0</v>
      </c>
      <c r="F3" s="8"/>
      <c r="G3" s="8"/>
      <c r="H3" s="436" t="s">
        <v>199</v>
      </c>
      <c r="I3" s="8"/>
      <c r="J3" s="8"/>
      <c r="K3" s="8"/>
      <c r="L3" s="8"/>
      <c r="M3" s="8"/>
      <c r="N3" s="8"/>
      <c r="O3" s="9"/>
      <c r="P3" s="9"/>
      <c r="Q3" s="86"/>
      <c r="R3" s="8"/>
      <c r="S3" s="8"/>
      <c r="T3" s="9"/>
      <c r="U3" s="9"/>
      <c r="V3" s="9"/>
    </row>
    <row r="4" spans="2:27" ht="15" thickBot="1" x14ac:dyDescent="0.35"/>
    <row r="5" spans="2:27" s="72" customFormat="1" ht="60.75" customHeight="1" thickBot="1" x14ac:dyDescent="0.25">
      <c r="B5" s="528" t="s">
        <v>38</v>
      </c>
      <c r="C5" s="530" t="s">
        <v>39</v>
      </c>
      <c r="D5" s="530" t="s">
        <v>40</v>
      </c>
      <c r="E5" s="529" t="s">
        <v>41</v>
      </c>
      <c r="F5" s="521" t="s">
        <v>42</v>
      </c>
      <c r="G5" s="522"/>
      <c r="H5" s="521" t="s">
        <v>43</v>
      </c>
      <c r="I5" s="525"/>
      <c r="J5" s="73"/>
      <c r="K5" s="526" t="s">
        <v>44</v>
      </c>
      <c r="L5" s="527"/>
      <c r="M5" s="526" t="s">
        <v>45</v>
      </c>
      <c r="N5" s="527"/>
      <c r="O5" s="523" t="s">
        <v>46</v>
      </c>
      <c r="P5" s="524"/>
      <c r="Q5" s="92" t="s">
        <v>47</v>
      </c>
      <c r="R5" s="521" t="s">
        <v>48</v>
      </c>
      <c r="S5" s="522"/>
      <c r="T5" s="523" t="s">
        <v>49</v>
      </c>
      <c r="U5" s="524"/>
      <c r="V5" s="76" t="s">
        <v>50</v>
      </c>
      <c r="W5" s="427" t="s">
        <v>197</v>
      </c>
      <c r="X5" s="428"/>
      <c r="Y5" s="428"/>
      <c r="Z5" s="428"/>
      <c r="AA5" s="429"/>
    </row>
    <row r="6" spans="2:27" s="72" customFormat="1" ht="46.5" customHeight="1" thickBot="1" x14ac:dyDescent="0.25">
      <c r="B6" s="528"/>
      <c r="C6" s="530"/>
      <c r="D6" s="530"/>
      <c r="E6" s="529"/>
      <c r="F6" s="74" t="s">
        <v>5</v>
      </c>
      <c r="G6" s="74" t="s">
        <v>51</v>
      </c>
      <c r="H6" s="74" t="s">
        <v>5</v>
      </c>
      <c r="I6" s="74" t="s">
        <v>6</v>
      </c>
      <c r="J6" s="75" t="s">
        <v>52</v>
      </c>
      <c r="K6" s="75" t="s">
        <v>5</v>
      </c>
      <c r="L6" s="75" t="s">
        <v>6</v>
      </c>
      <c r="M6" s="75" t="s">
        <v>5</v>
      </c>
      <c r="N6" s="75" t="s">
        <v>6</v>
      </c>
      <c r="O6" s="76" t="s">
        <v>5</v>
      </c>
      <c r="P6" s="76" t="s">
        <v>53</v>
      </c>
      <c r="Q6" s="91"/>
      <c r="R6" s="76" t="s">
        <v>5</v>
      </c>
      <c r="S6" s="76" t="s">
        <v>152</v>
      </c>
      <c r="T6" s="76" t="s">
        <v>54</v>
      </c>
      <c r="U6" s="76" t="s">
        <v>6</v>
      </c>
      <c r="V6" s="76" t="s">
        <v>55</v>
      </c>
      <c r="W6" s="430"/>
      <c r="X6" s="431"/>
      <c r="Y6" s="431"/>
      <c r="Z6" s="431"/>
      <c r="AA6" s="432"/>
    </row>
    <row r="7" spans="2:27" s="72" customFormat="1" ht="15" customHeight="1" x14ac:dyDescent="0.2">
      <c r="B7" s="65" t="s">
        <v>56</v>
      </c>
      <c r="C7" s="66">
        <v>684</v>
      </c>
      <c r="D7" s="66">
        <v>685</v>
      </c>
      <c r="E7" s="67">
        <v>44257</v>
      </c>
      <c r="F7" s="80">
        <f>IFERROR(_xlfn.XLOOKUP(C7,'Data Share Units'!S:S,'Data Share Units'!G:G),0)</f>
        <v>0</v>
      </c>
      <c r="G7" s="80">
        <f>IFERROR(_xlfn.XLOOKUP(D7,'Data Share Units'!T:T,'Data Share Units'!H:H),0)</f>
        <v>0</v>
      </c>
      <c r="H7" s="79">
        <f>F7</f>
        <v>0</v>
      </c>
      <c r="I7" s="79">
        <f>G7</f>
        <v>0</v>
      </c>
      <c r="J7" s="68"/>
      <c r="K7" s="69"/>
      <c r="L7" s="69"/>
      <c r="M7" s="69"/>
      <c r="N7" s="69"/>
      <c r="O7" s="70">
        <f>IFERROR(F7*T7,0)</f>
        <v>0</v>
      </c>
      <c r="P7" s="70">
        <f>IFERROR(G7*U7,0)</f>
        <v>0</v>
      </c>
      <c r="Q7" s="88"/>
      <c r="R7" s="70">
        <f>IF(F7&gt;0,'START HERE'!C7,0)</f>
        <v>0</v>
      </c>
      <c r="S7" s="70">
        <f>IF(G7&gt;0,'START HERE'!C8,0)</f>
        <v>0</v>
      </c>
      <c r="T7" s="68">
        <f>IFERROR(R7/H7,0)</f>
        <v>0</v>
      </c>
      <c r="U7" s="68">
        <f>IFERROR(S7/I7,0)</f>
        <v>0</v>
      </c>
      <c r="V7" s="68">
        <f>IFERROR((R7+S7)/H7,0)</f>
        <v>0</v>
      </c>
      <c r="W7" s="71" t="s">
        <v>57</v>
      </c>
    </row>
    <row r="8" spans="2:27" s="72" customFormat="1" ht="15" customHeight="1" thickBot="1" x14ac:dyDescent="0.25">
      <c r="B8" s="65" t="s">
        <v>58</v>
      </c>
      <c r="C8" s="66">
        <v>686</v>
      </c>
      <c r="D8" s="66">
        <v>687</v>
      </c>
      <c r="E8" s="67">
        <v>44257</v>
      </c>
      <c r="F8" s="80">
        <f>IFERROR(_xlfn.XLOOKUP(C8,'Data Share Units'!S:S,'Data Share Units'!G:G),0)</f>
        <v>0</v>
      </c>
      <c r="G8" s="80">
        <f>IFERROR(_xlfn.XLOOKUP(D8,'Data Share Units'!T:T,'Data Share Units'!H:H),0)</f>
        <v>0</v>
      </c>
      <c r="H8" s="79">
        <f>F8+F7</f>
        <v>0</v>
      </c>
      <c r="I8" s="79">
        <f>G8+G7</f>
        <v>0</v>
      </c>
      <c r="J8" s="68"/>
      <c r="K8" s="70">
        <f>_xlfn.XLOOKUP(C8,'Data Share Units'!S:S,'Data Share Units'!I:I,0)</f>
        <v>0</v>
      </c>
      <c r="L8" s="70">
        <f>_xlfn.XLOOKUP(D8,'Data Share Units'!T:T,'Data Share Units'!J:J,0)</f>
        <v>0</v>
      </c>
      <c r="M8" s="70" t="str">
        <f>IF(F8&gt;0,F8*K8,"")</f>
        <v/>
      </c>
      <c r="N8" s="70" t="str">
        <f>IF(G8&gt;0,G8*L8,"")</f>
        <v/>
      </c>
      <c r="O8" s="70">
        <f>IFERROR(F8*0.05,0)</f>
        <v>0</v>
      </c>
      <c r="P8" s="70">
        <f>IFERROR(G8*1,0)</f>
        <v>0</v>
      </c>
      <c r="Q8" s="88"/>
      <c r="R8" s="70">
        <f>IF(F8&gt;0,R7+K8*F8,R7)</f>
        <v>0</v>
      </c>
      <c r="S8" s="70">
        <f>IF(G8&gt;0,S7+L8*G8,S7)</f>
        <v>0</v>
      </c>
      <c r="T8" s="68">
        <f>IFERROR(R8/H8,0)</f>
        <v>0</v>
      </c>
      <c r="U8" s="68">
        <f>IFERROR(S8/I8,0)</f>
        <v>0</v>
      </c>
      <c r="V8" s="68">
        <f>IFERROR((R8+S8)/H8,0)</f>
        <v>0</v>
      </c>
      <c r="W8" s="71" t="s">
        <v>59</v>
      </c>
    </row>
    <row r="9" spans="2:27" ht="15" customHeight="1" thickBot="1" x14ac:dyDescent="0.35">
      <c r="B9" s="64" t="s">
        <v>60</v>
      </c>
      <c r="C9" s="77"/>
      <c r="D9" s="77"/>
      <c r="E9" s="77"/>
      <c r="F9" s="77"/>
      <c r="G9" s="77"/>
      <c r="H9" s="77"/>
      <c r="I9" s="77"/>
      <c r="J9" s="77"/>
      <c r="K9" s="77"/>
      <c r="L9" s="77"/>
      <c r="M9" s="77"/>
      <c r="N9" s="77"/>
      <c r="O9" s="107"/>
      <c r="P9" s="107"/>
      <c r="Q9" s="89"/>
      <c r="R9" s="77"/>
      <c r="S9" s="78"/>
      <c r="T9" s="64"/>
      <c r="U9" s="77"/>
      <c r="V9" s="78"/>
    </row>
    <row r="10" spans="2:27" s="72" customFormat="1" ht="15" customHeight="1" x14ac:dyDescent="0.2">
      <c r="B10" s="72" t="str">
        <f>IF(F10&lt;0,"Transfer to Spouse",IF(F10&gt;0,"Transfer from spouse","Transfer"))</f>
        <v>Transfer</v>
      </c>
      <c r="C10" s="66">
        <v>693</v>
      </c>
      <c r="D10" s="66">
        <v>694</v>
      </c>
      <c r="E10" s="67">
        <v>44294</v>
      </c>
      <c r="F10" s="80">
        <f>IFERROR(_xlfn.XLOOKUP(C10,'Data Share Units'!S:S,'Data Share Units'!G:G),0)</f>
        <v>0</v>
      </c>
      <c r="G10" s="80">
        <f>IFERROR(_xlfn.XLOOKUP(D10,'Data Share Units'!T:T,'Data Share Units'!H:H),0)</f>
        <v>0</v>
      </c>
      <c r="H10" s="79">
        <f>IFERROR(H8+F10,0)</f>
        <v>0</v>
      </c>
      <c r="I10" s="79">
        <f>IFERROR(I8+G10,0)</f>
        <v>0</v>
      </c>
      <c r="J10" s="70">
        <v>5.65</v>
      </c>
      <c r="K10" s="69"/>
      <c r="L10" s="69"/>
      <c r="M10" s="69"/>
      <c r="N10" s="69"/>
      <c r="O10" s="70">
        <f>IF(F10&gt;0,"Enter Value",IFERROR(F10*T8,0))</f>
        <v>0</v>
      </c>
      <c r="P10" s="70">
        <f>IF(G10&gt;0,"Enter Value",IFERROR(G10*U8,0))</f>
        <v>0</v>
      </c>
      <c r="Q10" s="88"/>
      <c r="R10" s="70">
        <f>IF(F10&gt;0,R8+O10,IF(F10&lt;0,R8+F10*T8,IF(O10=0,R8)))</f>
        <v>0</v>
      </c>
      <c r="S10" s="70">
        <f>IF(G10&gt;0,S8+P10+Q10,IF(G10&lt;0,S8+G10*U8,IF(P10=0,S8)))</f>
        <v>0</v>
      </c>
      <c r="T10" s="68">
        <f t="shared" ref="T10:T21" si="0">IFERROR(R10/H10,0)</f>
        <v>0</v>
      </c>
      <c r="U10" s="68">
        <f t="shared" ref="U10:U21" si="1">IFERROR(S10/I10,0)</f>
        <v>0</v>
      </c>
      <c r="V10" s="68">
        <f t="shared" ref="V10:V21" si="2">IFERROR((R10+S10)/H10,0)</f>
        <v>0</v>
      </c>
      <c r="W10" s="71" t="s">
        <v>61</v>
      </c>
    </row>
    <row r="11" spans="2:27" s="72" customFormat="1" ht="15" customHeight="1" x14ac:dyDescent="0.2">
      <c r="B11" s="72" t="s">
        <v>62</v>
      </c>
      <c r="C11" s="66">
        <v>689</v>
      </c>
      <c r="D11" s="66">
        <v>690</v>
      </c>
      <c r="E11" s="67">
        <v>44309</v>
      </c>
      <c r="F11" s="80">
        <f>IFERROR(_xlfn.XLOOKUP(C11,'Data Share Units'!S:S,'Data Share Units'!G:G),0)</f>
        <v>0</v>
      </c>
      <c r="G11" s="80">
        <f>IFERROR(_xlfn.XLOOKUP(D11,'Data Share Units'!T:T,'Data Share Units'!H:H),0)</f>
        <v>0</v>
      </c>
      <c r="H11" s="79">
        <f>IFERROR(H10+F11,0)</f>
        <v>0</v>
      </c>
      <c r="I11" s="79">
        <f>IFERROR(I10+G11,0)</f>
        <v>0</v>
      </c>
      <c r="J11" s="70">
        <v>5.65</v>
      </c>
      <c r="K11" s="69"/>
      <c r="L11" s="69"/>
      <c r="M11" s="69"/>
      <c r="N11" s="69"/>
      <c r="O11" s="70">
        <f>IF(F11&gt;0,"Enter Value",IFERROR(F11*T9,0))</f>
        <v>0</v>
      </c>
      <c r="P11" s="70">
        <f>IF(G11&gt;0,"Enter Value",IFERROR(G11*U9,0))</f>
        <v>0</v>
      </c>
      <c r="Q11" s="90">
        <f>IFERROR(IF((O11+P11)&gt;1000,CEILING((O11+P11)*0.005,5),0),"")</f>
        <v>0</v>
      </c>
      <c r="R11" s="70">
        <f t="shared" ref="R11:R13" si="3">IF(F11&gt;0,R10+O11,IF(F11&lt;0,R10+F11*T10,IF(O11=0,R10)))</f>
        <v>0</v>
      </c>
      <c r="S11" s="70">
        <f t="shared" ref="S11:S13" si="4">IF(G11&gt;0,S10+P11+Q11,IF(G11&lt;0,S10+G11*U10,IF(P11=0,S10)))</f>
        <v>0</v>
      </c>
      <c r="T11" s="68">
        <f t="shared" si="0"/>
        <v>0</v>
      </c>
      <c r="U11" s="68">
        <f t="shared" si="1"/>
        <v>0</v>
      </c>
      <c r="V11" s="68">
        <f t="shared" si="2"/>
        <v>0</v>
      </c>
    </row>
    <row r="12" spans="2:27" s="72" customFormat="1" ht="15" customHeight="1" x14ac:dyDescent="0.2">
      <c r="B12" s="72" t="s">
        <v>63</v>
      </c>
      <c r="C12" s="66">
        <v>691</v>
      </c>
      <c r="D12" s="66">
        <v>692</v>
      </c>
      <c r="E12" s="67">
        <v>44309</v>
      </c>
      <c r="F12" s="80">
        <f>IFERROR(_xlfn.XLOOKUP(C12,'Data Share Units'!S:S,'Data Share Units'!G:G),0)</f>
        <v>0</v>
      </c>
      <c r="G12" s="80">
        <f>IFERROR(_xlfn.XLOOKUP(D12,'Data Share Units'!T:T,'Data Share Units'!H:H),0)</f>
        <v>0</v>
      </c>
      <c r="H12" s="79">
        <f>IFERROR(H11+F12,0)</f>
        <v>0</v>
      </c>
      <c r="I12" s="79">
        <f t="shared" ref="I12:I21" si="5">IFERROR(I11+G12,0)</f>
        <v>0</v>
      </c>
      <c r="J12" s="70">
        <v>5.65</v>
      </c>
      <c r="K12" s="70">
        <f>_xlfn.XLOOKUP(C12,'Data Share Units'!S:S,'Data Share Units'!I:I,0)</f>
        <v>0</v>
      </c>
      <c r="L12" s="70">
        <f>_xlfn.XLOOKUP(D12,'Data Share Units'!T:T,'Data Share Units'!J:J,0)</f>
        <v>0</v>
      </c>
      <c r="M12" s="70">
        <f>IFERROR(K12*F12,0)</f>
        <v>0</v>
      </c>
      <c r="N12" s="70">
        <f t="shared" ref="M12:N17" si="6">IFERROR(L12*G12,0)</f>
        <v>0</v>
      </c>
      <c r="O12" s="70">
        <f>IFERROR(F12*T11,0)</f>
        <v>0</v>
      </c>
      <c r="P12" s="70">
        <f>IFERROR(G12*U11,0)</f>
        <v>0</v>
      </c>
      <c r="Q12" s="88"/>
      <c r="R12" s="70">
        <f t="shared" si="3"/>
        <v>0</v>
      </c>
      <c r="S12" s="70">
        <f t="shared" si="4"/>
        <v>0</v>
      </c>
      <c r="T12" s="68">
        <f t="shared" si="0"/>
        <v>0</v>
      </c>
      <c r="U12" s="68">
        <f t="shared" si="1"/>
        <v>0</v>
      </c>
      <c r="V12" s="68">
        <f t="shared" si="2"/>
        <v>0</v>
      </c>
    </row>
    <row r="13" spans="2:27" s="72" customFormat="1" ht="15" customHeight="1" x14ac:dyDescent="0.2">
      <c r="B13" s="72" t="s">
        <v>64</v>
      </c>
      <c r="C13" s="66">
        <v>695</v>
      </c>
      <c r="D13" s="66">
        <v>696</v>
      </c>
      <c r="E13" s="67">
        <v>44344</v>
      </c>
      <c r="F13" s="80">
        <f>IFERROR(_xlfn.XLOOKUP(C13,'Data Share Units'!S:S,'Data Share Units'!G:G),0)</f>
        <v>0</v>
      </c>
      <c r="G13" s="80">
        <f>IFERROR(_xlfn.XLOOKUP(D13,'Data Share Units'!T:T,'Data Share Units'!H:H),0)</f>
        <v>0</v>
      </c>
      <c r="H13" s="79">
        <f>IFERROR(H12+F13,0)</f>
        <v>0</v>
      </c>
      <c r="I13" s="79">
        <f t="shared" si="5"/>
        <v>0</v>
      </c>
      <c r="J13" s="70">
        <v>5.65</v>
      </c>
      <c r="K13" s="70">
        <f>_xlfn.XLOOKUP(C13,'Data Share Units'!S:S,'Data Share Units'!I:I,0)</f>
        <v>0</v>
      </c>
      <c r="L13" s="70">
        <f>_xlfn.XLOOKUP(D13,'Data Share Units'!T:T,'Data Share Units'!J:J,0)</f>
        <v>0</v>
      </c>
      <c r="M13" s="70">
        <f>IFERROR(K13*F13,0)</f>
        <v>0</v>
      </c>
      <c r="N13" s="70">
        <f t="shared" si="6"/>
        <v>0</v>
      </c>
      <c r="O13" s="70">
        <f>M13</f>
        <v>0</v>
      </c>
      <c r="P13" s="70">
        <f>N13</f>
        <v>0</v>
      </c>
      <c r="Q13" s="90">
        <f>IFERROR(IF((O13+P13)&gt;1000,CEILING((O13+P13)*0.005,5),0),"")</f>
        <v>0</v>
      </c>
      <c r="R13" s="70">
        <f t="shared" si="3"/>
        <v>0</v>
      </c>
      <c r="S13" s="70">
        <f t="shared" si="4"/>
        <v>0</v>
      </c>
      <c r="T13" s="68">
        <f t="shared" si="0"/>
        <v>0</v>
      </c>
      <c r="U13" s="68">
        <f t="shared" si="1"/>
        <v>0</v>
      </c>
      <c r="V13" s="68">
        <f t="shared" si="2"/>
        <v>0</v>
      </c>
      <c r="W13" s="106"/>
      <c r="X13" s="103"/>
    </row>
    <row r="14" spans="2:27" s="72" customFormat="1" ht="15" customHeight="1" x14ac:dyDescent="0.2">
      <c r="B14" s="72" t="s">
        <v>65</v>
      </c>
      <c r="C14" s="66">
        <v>697</v>
      </c>
      <c r="D14" s="66">
        <v>698</v>
      </c>
      <c r="E14" s="67">
        <v>44344</v>
      </c>
      <c r="F14" s="80">
        <f>IFERROR(_xlfn.XLOOKUP(C14,'Data Share Units'!S:S,'Data Share Units'!G:G),0)</f>
        <v>0</v>
      </c>
      <c r="G14" s="80">
        <f>IFERROR(_xlfn.XLOOKUP(D14,'Data Share Units'!T:T,'Data Share Units'!H:H),0)</f>
        <v>0</v>
      </c>
      <c r="H14" s="79">
        <f>IFERROR(H13+F14,0)</f>
        <v>0</v>
      </c>
      <c r="I14" s="79">
        <f t="shared" si="5"/>
        <v>0</v>
      </c>
      <c r="J14" s="70">
        <v>5.65</v>
      </c>
      <c r="K14" s="70">
        <f>_xlfn.XLOOKUP(C14,'Data Share Units'!S:S,'Data Share Units'!I:I,0)</f>
        <v>0</v>
      </c>
      <c r="L14" s="70">
        <f>_xlfn.XLOOKUP(D14,'Data Share Units'!T:T,'Data Share Units'!J:J,0)</f>
        <v>0</v>
      </c>
      <c r="M14" s="70">
        <f>IFERROR(K14*F14,0)</f>
        <v>0</v>
      </c>
      <c r="N14" s="70">
        <f t="shared" si="6"/>
        <v>0</v>
      </c>
      <c r="O14" s="70">
        <f>M14</f>
        <v>0</v>
      </c>
      <c r="P14" s="70">
        <f>N14</f>
        <v>0</v>
      </c>
      <c r="Q14" s="90">
        <f>IFERROR(IF((O14+P14)&gt;1000,CEILING((O14+P14)*0.005,5),0),"")</f>
        <v>0</v>
      </c>
      <c r="R14" s="70">
        <f>IF(F14&gt;0,R13+O14,IF(F14&lt;0,R13+F14*T13,IF(O14=0,R13)))</f>
        <v>0</v>
      </c>
      <c r="S14" s="70">
        <f>IF(G14&gt;0,S13+P14+Q14,IF(G14&lt;0,S13+G14*U13,IF(P14=0,S13)))</f>
        <v>0</v>
      </c>
      <c r="T14" s="68">
        <f t="shared" si="0"/>
        <v>0</v>
      </c>
      <c r="U14" s="68">
        <f t="shared" si="1"/>
        <v>0</v>
      </c>
      <c r="V14" s="68">
        <f t="shared" si="2"/>
        <v>0</v>
      </c>
      <c r="W14" s="104"/>
    </row>
    <row r="15" spans="2:27" s="72" customFormat="1" ht="15" customHeight="1" x14ac:dyDescent="0.2">
      <c r="B15" s="72" t="s">
        <v>66</v>
      </c>
      <c r="C15" s="66">
        <v>699</v>
      </c>
      <c r="D15" s="66">
        <v>700</v>
      </c>
      <c r="E15" s="67">
        <v>44344</v>
      </c>
      <c r="F15" s="80">
        <f>IFERROR(_xlfn.XLOOKUP(C15,'Data Share Units'!S:S,'Data Share Units'!G:G),0)</f>
        <v>0</v>
      </c>
      <c r="G15" s="80">
        <f>IFERROR(_xlfn.XLOOKUP(D15,'Data Share Units'!T:T,'Data Share Units'!H:H),0)</f>
        <v>0</v>
      </c>
      <c r="H15" s="79">
        <f>IFERROR(H14+F15,0)</f>
        <v>0</v>
      </c>
      <c r="I15" s="79">
        <f t="shared" si="5"/>
        <v>0</v>
      </c>
      <c r="J15" s="70">
        <v>5.65</v>
      </c>
      <c r="K15" s="70">
        <f>_xlfn.XLOOKUP(C15,'Data Share Units'!S:S,'Data Share Units'!I:I,0)</f>
        <v>0</v>
      </c>
      <c r="L15" s="70">
        <f>_xlfn.XLOOKUP(D15,'Data Share Units'!T:T,'Data Share Units'!J:J,0)</f>
        <v>0</v>
      </c>
      <c r="M15" s="70">
        <f t="shared" si="6"/>
        <v>0</v>
      </c>
      <c r="N15" s="70">
        <f t="shared" si="6"/>
        <v>0</v>
      </c>
      <c r="O15" s="70">
        <f>IFERROR(F15*T14,0)</f>
        <v>0</v>
      </c>
      <c r="P15" s="70">
        <f>G15*U14</f>
        <v>0</v>
      </c>
      <c r="Q15" s="88"/>
      <c r="R15" s="70">
        <f>IFERROR(R14+O15,0)</f>
        <v>0</v>
      </c>
      <c r="S15" s="70">
        <f>IFERROR(S14+P15,0)</f>
        <v>0</v>
      </c>
      <c r="T15" s="68">
        <f t="shared" si="0"/>
        <v>0</v>
      </c>
      <c r="U15" s="68">
        <f t="shared" si="1"/>
        <v>0</v>
      </c>
      <c r="V15" s="68">
        <f t="shared" si="2"/>
        <v>0</v>
      </c>
    </row>
    <row r="16" spans="2:27" s="72" customFormat="1" ht="15" customHeight="1" x14ac:dyDescent="0.2">
      <c r="B16" s="72" t="s">
        <v>67</v>
      </c>
      <c r="C16" s="66">
        <v>701</v>
      </c>
      <c r="D16" s="66">
        <v>702</v>
      </c>
      <c r="E16" s="67">
        <v>44370</v>
      </c>
      <c r="F16" s="80">
        <f>IFERROR(_xlfn.XLOOKUP(C16,'Data Share Units'!S:S,'Data Share Units'!G:G),0)</f>
        <v>0</v>
      </c>
      <c r="G16" s="80">
        <f>IFERROR(_xlfn.XLOOKUP(D16,'Data Share Units'!T:T,'Data Share Units'!H:H),0)</f>
        <v>0</v>
      </c>
      <c r="H16" s="79">
        <f t="shared" ref="H16:H21" si="7">IFERROR(H15+F16,0)</f>
        <v>0</v>
      </c>
      <c r="I16" s="79">
        <f t="shared" si="5"/>
        <v>0</v>
      </c>
      <c r="J16" s="70">
        <v>5.65</v>
      </c>
      <c r="K16" s="70">
        <f>_xlfn.XLOOKUP(C16,'Data Share Units'!S:S,'Data Share Units'!I:I,0)</f>
        <v>0</v>
      </c>
      <c r="L16" s="70">
        <f>_xlfn.XLOOKUP(D16,'Data Share Units'!T:T,'Data Share Units'!J:J,0)</f>
        <v>0</v>
      </c>
      <c r="M16" s="70">
        <f t="shared" si="6"/>
        <v>0</v>
      </c>
      <c r="N16" s="70">
        <f t="shared" si="6"/>
        <v>0</v>
      </c>
      <c r="O16" s="70">
        <f>IFERROR(F16*T15,0)</f>
        <v>0</v>
      </c>
      <c r="P16" s="70">
        <f>IFERROR(G16*U15,0)</f>
        <v>0</v>
      </c>
      <c r="Q16" s="90">
        <f>IFERROR(IF((O16+P16)&gt;1000,CEILING((O16+P16)*0.005,5),0),"")</f>
        <v>0</v>
      </c>
      <c r="R16" s="70">
        <f>IF(F16=0,R15+O16,(R15+O16+(Q16*F16/(F16+G16))))</f>
        <v>0</v>
      </c>
      <c r="S16" s="70">
        <f>IF(G16=0,S15+P16,(S15+P16+(Q16*G16/(G16+F16))))</f>
        <v>0</v>
      </c>
      <c r="T16" s="68">
        <f t="shared" si="0"/>
        <v>0</v>
      </c>
      <c r="U16" s="68">
        <f t="shared" si="1"/>
        <v>0</v>
      </c>
      <c r="V16" s="68">
        <f t="shared" si="2"/>
        <v>0</v>
      </c>
    </row>
    <row r="17" spans="2:23" s="72" customFormat="1" ht="15" customHeight="1" x14ac:dyDescent="0.2">
      <c r="B17" s="72" t="s">
        <v>68</v>
      </c>
      <c r="C17" s="66">
        <v>703</v>
      </c>
      <c r="D17" s="66">
        <v>704</v>
      </c>
      <c r="E17" s="67">
        <v>44370</v>
      </c>
      <c r="F17" s="80">
        <f>IFERROR(_xlfn.XLOOKUP(C17,'Data Share Units'!S:S,'Data Share Units'!G:G),0)</f>
        <v>0</v>
      </c>
      <c r="G17" s="80">
        <f>IFERROR(_xlfn.XLOOKUP(D17,'Data Share Units'!T:T,'Data Share Units'!H:H),0)</f>
        <v>0</v>
      </c>
      <c r="H17" s="79">
        <f t="shared" si="7"/>
        <v>0</v>
      </c>
      <c r="I17" s="79">
        <f t="shared" si="5"/>
        <v>0</v>
      </c>
      <c r="J17" s="70">
        <v>5.65</v>
      </c>
      <c r="K17" s="70">
        <f>_xlfn.XLOOKUP(C17,'Data Share Units'!S:S,'Data Share Units'!I:I,0)</f>
        <v>0</v>
      </c>
      <c r="L17" s="70">
        <f>_xlfn.XLOOKUP(D17,'Data Share Units'!T:T,'Data Share Units'!J:J,0)</f>
        <v>0</v>
      </c>
      <c r="M17" s="70">
        <f t="shared" si="6"/>
        <v>0</v>
      </c>
      <c r="N17" s="70">
        <f t="shared" si="6"/>
        <v>0</v>
      </c>
      <c r="O17" s="70">
        <f>IFERROR(F17*T16,0)</f>
        <v>0</v>
      </c>
      <c r="P17" s="70">
        <f>G17*U16</f>
        <v>0</v>
      </c>
      <c r="Q17" s="88"/>
      <c r="R17" s="70">
        <f t="shared" ref="R17:S21" si="8">IFERROR(R16+O17,0)</f>
        <v>0</v>
      </c>
      <c r="S17" s="70">
        <f t="shared" si="8"/>
        <v>0</v>
      </c>
      <c r="T17" s="68">
        <f t="shared" si="0"/>
        <v>0</v>
      </c>
      <c r="U17" s="68">
        <f t="shared" si="1"/>
        <v>0</v>
      </c>
      <c r="V17" s="68">
        <f t="shared" si="2"/>
        <v>0</v>
      </c>
    </row>
    <row r="18" spans="2:23" s="72" customFormat="1" ht="15" customHeight="1" x14ac:dyDescent="0.2">
      <c r="B18" s="72" t="str">
        <f>IF(F18&lt;0,"Transfer to Spouse",IF(F18&gt;0,"Transfer from spouse","Transfer"))</f>
        <v>Transfer</v>
      </c>
      <c r="C18" s="66">
        <v>706</v>
      </c>
      <c r="D18" s="66">
        <v>707</v>
      </c>
      <c r="E18" s="67">
        <v>44418</v>
      </c>
      <c r="F18" s="80">
        <f>IFERROR(_xlfn.XLOOKUP(C18,'Data Share Units'!S:S,'Data Share Units'!G:G),0)</f>
        <v>0</v>
      </c>
      <c r="G18" s="80">
        <f>IFERROR(_xlfn.XLOOKUP(D18,'Data Share Units'!T:T,'Data Share Units'!H:H),0)</f>
        <v>0</v>
      </c>
      <c r="H18" s="79">
        <f t="shared" si="7"/>
        <v>0</v>
      </c>
      <c r="I18" s="79">
        <f t="shared" si="5"/>
        <v>0</v>
      </c>
      <c r="J18" s="70">
        <v>5.65</v>
      </c>
      <c r="K18" s="69"/>
      <c r="L18" s="69"/>
      <c r="M18" s="69"/>
      <c r="N18" s="69"/>
      <c r="O18" s="70">
        <f>IF(F18&gt;0,"Enter Value",F18*T17)</f>
        <v>0</v>
      </c>
      <c r="P18" s="70">
        <f>IF(G18&gt;0,"Enter Value",G18*U17)</f>
        <v>0</v>
      </c>
      <c r="Q18" s="88"/>
      <c r="R18" s="70">
        <f t="shared" si="8"/>
        <v>0</v>
      </c>
      <c r="S18" s="70">
        <f t="shared" si="8"/>
        <v>0</v>
      </c>
      <c r="T18" s="68">
        <f t="shared" si="0"/>
        <v>0</v>
      </c>
      <c r="U18" s="68">
        <f t="shared" si="1"/>
        <v>0</v>
      </c>
      <c r="V18" s="68">
        <f t="shared" si="2"/>
        <v>0</v>
      </c>
      <c r="W18" s="71" t="s">
        <v>61</v>
      </c>
    </row>
    <row r="19" spans="2:23" s="72" customFormat="1" ht="15" customHeight="1" x14ac:dyDescent="0.2">
      <c r="B19" s="72" t="s">
        <v>68</v>
      </c>
      <c r="C19" s="66">
        <v>709</v>
      </c>
      <c r="D19" s="66">
        <v>710</v>
      </c>
      <c r="E19" s="67">
        <v>44540</v>
      </c>
      <c r="F19" s="80">
        <f>IFERROR(_xlfn.XLOOKUP(C19,'Data Share Units'!S:S,'Data Share Units'!G:G),0)</f>
        <v>0</v>
      </c>
      <c r="G19" s="80">
        <f>IFERROR(_xlfn.XLOOKUP(D19,'Data Share Units'!T:T,'Data Share Units'!H:H),0)</f>
        <v>0</v>
      </c>
      <c r="H19" s="79">
        <f t="shared" si="7"/>
        <v>0</v>
      </c>
      <c r="I19" s="79">
        <f t="shared" si="5"/>
        <v>0</v>
      </c>
      <c r="J19" s="70">
        <v>5.65</v>
      </c>
      <c r="K19" s="70">
        <f>_xlfn.XLOOKUP(C19,'Data Share Units'!S:S,'Data Share Units'!I:I,0)</f>
        <v>0</v>
      </c>
      <c r="L19" s="70">
        <f>_xlfn.XLOOKUP(D19,'Data Share Units'!T:T,'Data Share Units'!J:J,0)</f>
        <v>0</v>
      </c>
      <c r="M19" s="70">
        <f>IFERROR(-K19*F19,0)</f>
        <v>0</v>
      </c>
      <c r="N19" s="70">
        <f>IFERROR(-L19*G19,0)</f>
        <v>0</v>
      </c>
      <c r="O19" s="70">
        <f>F19*T18</f>
        <v>0</v>
      </c>
      <c r="P19" s="70">
        <f>G19*U18</f>
        <v>0</v>
      </c>
      <c r="Q19" s="88"/>
      <c r="R19" s="70">
        <f t="shared" si="8"/>
        <v>0</v>
      </c>
      <c r="S19" s="70">
        <f t="shared" si="8"/>
        <v>0</v>
      </c>
      <c r="T19" s="68">
        <f t="shared" si="0"/>
        <v>0</v>
      </c>
      <c r="U19" s="68">
        <f t="shared" si="1"/>
        <v>0</v>
      </c>
      <c r="V19" s="68">
        <f t="shared" si="2"/>
        <v>0</v>
      </c>
    </row>
    <row r="20" spans="2:23" s="72" customFormat="1" ht="15" customHeight="1" x14ac:dyDescent="0.2">
      <c r="B20" s="72" t="str">
        <f>IF(F20&lt;0,"Transfer to Spouse",IF(F20&gt;0,"Transfer from spouse","Transfer"))</f>
        <v>Transfer</v>
      </c>
      <c r="C20" s="66">
        <v>717</v>
      </c>
      <c r="D20" s="66">
        <v>718</v>
      </c>
      <c r="E20" s="67">
        <v>44553</v>
      </c>
      <c r="F20" s="80">
        <f>IFERROR(_xlfn.XLOOKUP(C20,'Data Share Units'!S:S,'Data Share Units'!G:G),0)</f>
        <v>0</v>
      </c>
      <c r="G20" s="80">
        <f>IFERROR(_xlfn.XLOOKUP(D20,'Data Share Units'!T:T,'Data Share Units'!H:H),0)</f>
        <v>0</v>
      </c>
      <c r="H20" s="79">
        <f t="shared" si="7"/>
        <v>0</v>
      </c>
      <c r="I20" s="79">
        <f t="shared" si="5"/>
        <v>0</v>
      </c>
      <c r="J20" s="70">
        <v>5.65</v>
      </c>
      <c r="K20" s="69"/>
      <c r="L20" s="69"/>
      <c r="M20" s="69"/>
      <c r="N20" s="69"/>
      <c r="O20" s="70">
        <f>IF(F20&gt;0,"Enter Value",F20*T19)</f>
        <v>0</v>
      </c>
      <c r="P20" s="70">
        <f>IF(G20&gt;0,"Enter Value",G20*U19)</f>
        <v>0</v>
      </c>
      <c r="Q20" s="88"/>
      <c r="R20" s="70">
        <f t="shared" si="8"/>
        <v>0</v>
      </c>
      <c r="S20" s="70">
        <f t="shared" si="8"/>
        <v>0</v>
      </c>
      <c r="T20" s="68">
        <f t="shared" si="0"/>
        <v>0</v>
      </c>
      <c r="U20" s="68">
        <f t="shared" si="1"/>
        <v>0</v>
      </c>
      <c r="V20" s="68">
        <f t="shared" si="2"/>
        <v>0</v>
      </c>
      <c r="W20" s="71" t="s">
        <v>61</v>
      </c>
    </row>
    <row r="21" spans="2:23" s="72" customFormat="1" ht="15" customHeight="1" thickBot="1" x14ac:dyDescent="0.25">
      <c r="B21" s="72" t="str">
        <f>IF(F21&lt;0,"Transfer to Spouse",IF(F21&gt;0,"Transfer from spouse","Transfer"))</f>
        <v>Transfer</v>
      </c>
      <c r="C21" s="66">
        <v>720</v>
      </c>
      <c r="D21" s="66">
        <v>721</v>
      </c>
      <c r="E21" s="67">
        <v>44624</v>
      </c>
      <c r="F21" s="80">
        <f>IFERROR(_xlfn.XLOOKUP(C21,'Data Share Units'!S:S,'Data Share Units'!G:G),0)</f>
        <v>0</v>
      </c>
      <c r="G21" s="80">
        <f>IFERROR(_xlfn.XLOOKUP(D21,'Data Share Units'!T:T,'Data Share Units'!H:H),0)</f>
        <v>0</v>
      </c>
      <c r="H21" s="79">
        <f t="shared" si="7"/>
        <v>0</v>
      </c>
      <c r="I21" s="79">
        <f t="shared" si="5"/>
        <v>0</v>
      </c>
      <c r="J21" s="70">
        <v>5.65</v>
      </c>
      <c r="K21" s="69"/>
      <c r="L21" s="69"/>
      <c r="M21" s="69"/>
      <c r="N21" s="69"/>
      <c r="O21" s="70">
        <f>IF(F21&gt;0,"Enter Value",F21*T20)</f>
        <v>0</v>
      </c>
      <c r="P21" s="70">
        <f>IF(G21&gt;0,"Enter Value",G21*U20)</f>
        <v>0</v>
      </c>
      <c r="Q21" s="88"/>
      <c r="R21" s="70">
        <f t="shared" si="8"/>
        <v>0</v>
      </c>
      <c r="S21" s="70">
        <f t="shared" si="8"/>
        <v>0</v>
      </c>
      <c r="T21" s="68">
        <f t="shared" si="0"/>
        <v>0</v>
      </c>
      <c r="U21" s="68">
        <f t="shared" si="1"/>
        <v>0</v>
      </c>
      <c r="V21" s="68">
        <f t="shared" si="2"/>
        <v>0</v>
      </c>
      <c r="W21" s="71" t="s">
        <v>61</v>
      </c>
    </row>
    <row r="22" spans="2:23" ht="15" customHeight="1" thickBot="1" x14ac:dyDescent="0.35">
      <c r="B22" s="64" t="s">
        <v>69</v>
      </c>
      <c r="C22" s="77"/>
      <c r="D22" s="77"/>
      <c r="E22" s="77"/>
      <c r="F22" s="77"/>
      <c r="G22" s="77"/>
      <c r="H22" s="77"/>
      <c r="I22" s="77"/>
      <c r="J22" s="77"/>
      <c r="K22" s="77"/>
      <c r="L22" s="77"/>
      <c r="M22" s="77"/>
      <c r="N22" s="77"/>
      <c r="O22" s="107"/>
      <c r="P22" s="107"/>
      <c r="Q22" s="89"/>
      <c r="R22" s="77"/>
      <c r="S22" s="78"/>
      <c r="T22" s="64"/>
      <c r="U22" s="77"/>
      <c r="V22" s="78"/>
    </row>
    <row r="23" spans="2:23" ht="15" customHeight="1" x14ac:dyDescent="0.3">
      <c r="B23" s="72" t="s">
        <v>64</v>
      </c>
      <c r="C23" s="66">
        <v>723</v>
      </c>
      <c r="D23" s="66">
        <v>724</v>
      </c>
      <c r="E23" s="67">
        <v>44693</v>
      </c>
      <c r="F23" s="80">
        <f>IFERROR(_xlfn.XLOOKUP(C23,'Data Share Units'!S:S,'Data Share Units'!G:G),0)</f>
        <v>0</v>
      </c>
      <c r="G23" s="80">
        <f>IFERROR(_xlfn.XLOOKUP(D23,'Data Share Units'!T:T,'Data Share Units'!H:H),0)</f>
        <v>0</v>
      </c>
      <c r="H23" s="79">
        <f>IFERROR(H21+F23,"")</f>
        <v>0</v>
      </c>
      <c r="I23" s="79">
        <f>IFERROR(I21+G23,"")</f>
        <v>0</v>
      </c>
      <c r="J23" s="70">
        <v>6.58</v>
      </c>
      <c r="K23" s="70">
        <f>_xlfn.XLOOKUP(C23,'Data Share Units'!S:S,'Data Share Units'!I:I,0)</f>
        <v>0</v>
      </c>
      <c r="L23" s="70">
        <f>_xlfn.XLOOKUP(D23,'Data Share Units'!T:T,'Data Share Units'!J:J,0)</f>
        <v>0</v>
      </c>
      <c r="M23" s="70">
        <f>IFERROR(K23*F23,"")</f>
        <v>0</v>
      </c>
      <c r="N23" s="70">
        <f>IFERROR(G23*L23,"")</f>
        <v>0</v>
      </c>
      <c r="O23" s="70">
        <f t="shared" ref="O23:P25" si="9">M23</f>
        <v>0</v>
      </c>
      <c r="P23" s="70">
        <f t="shared" si="9"/>
        <v>0</v>
      </c>
      <c r="Q23" s="90">
        <f>IFERROR(IF((O23+P23)&gt;1000,CEILING((O23+P23)*0.005,5),0),"")</f>
        <v>0</v>
      </c>
      <c r="R23" s="70">
        <f>IF(F23&gt;0,R21+O23,IF(F23&lt;0,R21+F23*T21,IF(O23=0,R21)))</f>
        <v>0</v>
      </c>
      <c r="S23" s="70">
        <f>IF(G23&gt;0,S21+P23+Q23,IF(G23&lt;0,S21+G23*U21,IF(P23=0,S21)))</f>
        <v>0</v>
      </c>
      <c r="T23" s="68">
        <f t="shared" ref="T23:T35" si="10">IFERROR(R23/H23,0)</f>
        <v>0</v>
      </c>
      <c r="U23" s="68">
        <f t="shared" ref="U23:U35" si="11">IFERROR(S23/I23,0)</f>
        <v>0</v>
      </c>
      <c r="V23" s="68">
        <f t="shared" ref="V23:V35" si="12">IFERROR((R23+S23)/H23,0)</f>
        <v>0</v>
      </c>
    </row>
    <row r="24" spans="2:23" ht="15" customHeight="1" x14ac:dyDescent="0.3">
      <c r="B24" s="72" t="s">
        <v>65</v>
      </c>
      <c r="C24" s="66">
        <v>727</v>
      </c>
      <c r="D24" s="66">
        <v>728</v>
      </c>
      <c r="E24" s="67">
        <v>44693</v>
      </c>
      <c r="F24" s="80">
        <f>IFERROR(_xlfn.XLOOKUP(C24,'Data Share Units'!S:S,'Data Share Units'!G:G),0)</f>
        <v>0</v>
      </c>
      <c r="G24" s="80">
        <f>IFERROR(_xlfn.XLOOKUP(D24,'Data Share Units'!T:T,'Data Share Units'!H:H),0)</f>
        <v>0</v>
      </c>
      <c r="H24" s="79">
        <f>IFERROR(H23+F24,"")</f>
        <v>0</v>
      </c>
      <c r="I24" s="79">
        <f>IFERROR(I23+G24,"")</f>
        <v>0</v>
      </c>
      <c r="J24" s="70">
        <v>6.58</v>
      </c>
      <c r="K24" s="70">
        <f>_xlfn.XLOOKUP(C24,'Data Share Units'!S:S,'Data Share Units'!I:I,0)</f>
        <v>0</v>
      </c>
      <c r="L24" s="70">
        <f>_xlfn.XLOOKUP(D24,'Data Share Units'!T:T,'Data Share Units'!J:J,0)</f>
        <v>0</v>
      </c>
      <c r="M24" s="70">
        <f>IFERROR(K24*F24,"")</f>
        <v>0</v>
      </c>
      <c r="N24" s="70">
        <f>IFERROR(G24*L24,"")</f>
        <v>0</v>
      </c>
      <c r="O24" s="70">
        <f t="shared" si="9"/>
        <v>0</v>
      </c>
      <c r="P24" s="70">
        <f t="shared" si="9"/>
        <v>0</v>
      </c>
      <c r="Q24" s="90">
        <f>IFERROR(IF((O24+P24)&gt;1000,CEILING((O24+P24)*0.005,5),0),"")</f>
        <v>0</v>
      </c>
      <c r="R24" s="70">
        <f t="shared" ref="R24" si="13">IF(F24&gt;0,R23+O24,IF(F24&lt;0,R23+F24*T23,IF(O24=0,R23)))</f>
        <v>0</v>
      </c>
      <c r="S24" s="70">
        <f t="shared" ref="S24:S35" si="14">IF(G24&gt;0,S23+P24+Q24,IF(G24&lt;0,S23+G24*U23,IF(P24=0,S23)))</f>
        <v>0</v>
      </c>
      <c r="T24" s="68">
        <f t="shared" si="10"/>
        <v>0</v>
      </c>
      <c r="U24" s="68">
        <f t="shared" si="11"/>
        <v>0</v>
      </c>
      <c r="V24" s="68">
        <f t="shared" si="12"/>
        <v>0</v>
      </c>
    </row>
    <row r="25" spans="2:23" ht="15" customHeight="1" x14ac:dyDescent="0.3">
      <c r="B25" s="72" t="s">
        <v>70</v>
      </c>
      <c r="C25" s="66">
        <v>729</v>
      </c>
      <c r="D25" s="66">
        <v>730</v>
      </c>
      <c r="E25" s="67">
        <v>44693</v>
      </c>
      <c r="F25" s="80">
        <f>IFERROR(_xlfn.XLOOKUP(C25,'Data Share Units'!S:S,'Data Share Units'!G:G),0)</f>
        <v>0</v>
      </c>
      <c r="G25" s="80">
        <f>IFERROR(_xlfn.XLOOKUP(D25,'Data Share Units'!T:T,'Data Share Units'!H:H),0)</f>
        <v>0</v>
      </c>
      <c r="H25" s="79">
        <f t="shared" ref="H25:H32" si="15">IFERROR(H24+F25,"")</f>
        <v>0</v>
      </c>
      <c r="I25" s="79">
        <f t="shared" ref="I25:I32" si="16">IFERROR(I24+G25,"")</f>
        <v>0</v>
      </c>
      <c r="J25" s="70">
        <v>6.58</v>
      </c>
      <c r="K25" s="70">
        <f>_xlfn.XLOOKUP(C25,'Data Share Units'!S:S,'Data Share Units'!I:I,0)</f>
        <v>0</v>
      </c>
      <c r="L25" s="70">
        <f>_xlfn.XLOOKUP(D25,'Data Share Units'!T:T,'Data Share Units'!J:J,0)</f>
        <v>0</v>
      </c>
      <c r="M25" s="70">
        <f>IFERROR(K25*F25,"")</f>
        <v>0</v>
      </c>
      <c r="N25" s="70">
        <f>IFERROR(G25*L25,"")</f>
        <v>0</v>
      </c>
      <c r="O25" s="70">
        <f>M25</f>
        <v>0</v>
      </c>
      <c r="P25" s="70">
        <f t="shared" si="9"/>
        <v>0</v>
      </c>
      <c r="Q25" s="90">
        <f>IFERROR(IF((O25+P25)&gt;1000,CEILING((O25+P25)*0.005,5),0),"")</f>
        <v>0</v>
      </c>
      <c r="R25" s="70">
        <f t="shared" ref="R25:R35" si="17">IF(F25&gt;0,R24+O25,IF(F25&lt;0,R24+F25*T24,IF(O25=0,R24)))</f>
        <v>0</v>
      </c>
      <c r="S25" s="70">
        <f t="shared" si="14"/>
        <v>0</v>
      </c>
      <c r="T25" s="68">
        <f t="shared" si="10"/>
        <v>0</v>
      </c>
      <c r="U25" s="68">
        <f t="shared" si="11"/>
        <v>0</v>
      </c>
      <c r="V25" s="68">
        <f t="shared" si="12"/>
        <v>0</v>
      </c>
    </row>
    <row r="26" spans="2:23" ht="15" customHeight="1" x14ac:dyDescent="0.3">
      <c r="B26" s="72" t="s">
        <v>66</v>
      </c>
      <c r="C26" s="66">
        <v>725</v>
      </c>
      <c r="D26" s="66">
        <v>726</v>
      </c>
      <c r="E26" s="67">
        <v>44693</v>
      </c>
      <c r="F26" s="80">
        <f>IFERROR(_xlfn.XLOOKUP(C26,'Data Share Units'!S:S,'Data Share Units'!G:G),0)</f>
        <v>0</v>
      </c>
      <c r="G26" s="80">
        <f>IFERROR(_xlfn.XLOOKUP(D26,'Data Share Units'!T:T,'Data Share Units'!H:H),0)</f>
        <v>0</v>
      </c>
      <c r="H26" s="79">
        <f t="shared" si="15"/>
        <v>0</v>
      </c>
      <c r="I26" s="79">
        <f t="shared" si="16"/>
        <v>0</v>
      </c>
      <c r="J26" s="70">
        <v>6.58</v>
      </c>
      <c r="K26" s="70">
        <f>_xlfn.XLOOKUP(C26,'Data Share Units'!S:S,'Data Share Units'!I:I,0)</f>
        <v>0</v>
      </c>
      <c r="L26" s="70">
        <f>_xlfn.XLOOKUP(D26,'Data Share Units'!T:T,'Data Share Units'!J:J,0)</f>
        <v>0</v>
      </c>
      <c r="M26" s="70">
        <f>IFERROR(K26*F26,"")</f>
        <v>0</v>
      </c>
      <c r="N26" s="70">
        <f>IFERROR(G26*L26,"")</f>
        <v>0</v>
      </c>
      <c r="O26" s="70">
        <f>F26*T25</f>
        <v>0</v>
      </c>
      <c r="P26" s="70">
        <f>G26*U25</f>
        <v>0</v>
      </c>
      <c r="Q26" s="88"/>
      <c r="R26" s="70">
        <f t="shared" si="17"/>
        <v>0</v>
      </c>
      <c r="S26" s="70">
        <f t="shared" si="14"/>
        <v>0</v>
      </c>
      <c r="T26" s="68">
        <f t="shared" si="10"/>
        <v>0</v>
      </c>
      <c r="U26" s="68">
        <f t="shared" si="11"/>
        <v>0</v>
      </c>
      <c r="V26" s="68">
        <f t="shared" si="12"/>
        <v>0</v>
      </c>
    </row>
    <row r="27" spans="2:23" ht="15" customHeight="1" x14ac:dyDescent="0.3">
      <c r="B27" s="72" t="s">
        <v>68</v>
      </c>
      <c r="C27" s="66">
        <v>731</v>
      </c>
      <c r="D27" s="66">
        <v>732</v>
      </c>
      <c r="E27" s="67">
        <v>44693</v>
      </c>
      <c r="F27" s="80">
        <f>IFERROR(_xlfn.XLOOKUP(C27,'Data Share Units'!S:S,'Data Share Units'!G:G),0)</f>
        <v>0</v>
      </c>
      <c r="G27" s="80">
        <f>IFERROR(_xlfn.XLOOKUP(D27,'Data Share Units'!T:T,'Data Share Units'!H:H),0)</f>
        <v>0</v>
      </c>
      <c r="H27" s="79">
        <f t="shared" si="15"/>
        <v>0</v>
      </c>
      <c r="I27" s="79">
        <f t="shared" si="16"/>
        <v>0</v>
      </c>
      <c r="J27" s="70">
        <v>6.58</v>
      </c>
      <c r="K27" s="70">
        <f>_xlfn.XLOOKUP(C27,'Data Share Units'!S:S,'Data Share Units'!I:I,0)</f>
        <v>0</v>
      </c>
      <c r="L27" s="70">
        <f>_xlfn.XLOOKUP(D27,'Data Share Units'!T:T,'Data Share Units'!J:J,0)</f>
        <v>0</v>
      </c>
      <c r="M27" s="70">
        <f>IFERROR(K27*F27,"")</f>
        <v>0</v>
      </c>
      <c r="N27" s="70">
        <f>IFERROR(G27*L27,"")</f>
        <v>0</v>
      </c>
      <c r="O27" s="70">
        <f>F27*T26</f>
        <v>0</v>
      </c>
      <c r="P27" s="70">
        <f>G27*U26</f>
        <v>0</v>
      </c>
      <c r="Q27" s="88"/>
      <c r="R27" s="70">
        <f t="shared" si="17"/>
        <v>0</v>
      </c>
      <c r="S27" s="70">
        <f t="shared" si="14"/>
        <v>0</v>
      </c>
      <c r="T27" s="68">
        <f t="shared" si="10"/>
        <v>0</v>
      </c>
      <c r="U27" s="68">
        <f t="shared" si="11"/>
        <v>0</v>
      </c>
      <c r="V27" s="68">
        <f t="shared" si="12"/>
        <v>0</v>
      </c>
    </row>
    <row r="28" spans="2:23" ht="15" customHeight="1" x14ac:dyDescent="0.3">
      <c r="B28" s="72" t="s">
        <v>67</v>
      </c>
      <c r="C28" s="66">
        <v>733</v>
      </c>
      <c r="D28" s="66">
        <v>734</v>
      </c>
      <c r="E28" s="67">
        <v>44734</v>
      </c>
      <c r="F28" s="80">
        <f>IFERROR(_xlfn.XLOOKUP(C28,'Data Share Units'!S:S,'Data Share Units'!G:G),0)</f>
        <v>0</v>
      </c>
      <c r="G28" s="80">
        <f>IFERROR(_xlfn.XLOOKUP(D28,'Data Share Units'!T:T,'Data Share Units'!H:H),0)</f>
        <v>0</v>
      </c>
      <c r="H28" s="79">
        <f t="shared" si="15"/>
        <v>0</v>
      </c>
      <c r="I28" s="79">
        <f t="shared" si="16"/>
        <v>0</v>
      </c>
      <c r="J28" s="70">
        <v>6.58</v>
      </c>
      <c r="K28" s="70">
        <f>_xlfn.XLOOKUP(C28,'Data Share Units'!S:S,'Data Share Units'!I:I,0)</f>
        <v>0</v>
      </c>
      <c r="L28" s="70">
        <f>_xlfn.XLOOKUP(D28,'Data Share Units'!T:T,'Data Share Units'!J:J,0)</f>
        <v>0</v>
      </c>
      <c r="M28" s="70">
        <f>IFERROR(K28*F28,0)</f>
        <v>0</v>
      </c>
      <c r="N28" s="70">
        <f>IFERROR(L28*G28,0)</f>
        <v>0</v>
      </c>
      <c r="O28" s="70">
        <f>M28</f>
        <v>0</v>
      </c>
      <c r="P28" s="70">
        <f>N28</f>
        <v>0</v>
      </c>
      <c r="Q28" s="90">
        <f>IFERROR(IF((O28+P28)&gt;1000,CEILING((O28+P28)*0.005,5),0),"")</f>
        <v>0</v>
      </c>
      <c r="R28" s="70">
        <f t="shared" si="17"/>
        <v>0</v>
      </c>
      <c r="S28" s="70">
        <f t="shared" si="14"/>
        <v>0</v>
      </c>
      <c r="T28" s="68">
        <f t="shared" si="10"/>
        <v>0</v>
      </c>
      <c r="U28" s="68">
        <f t="shared" si="11"/>
        <v>0</v>
      </c>
      <c r="V28" s="68">
        <f t="shared" si="12"/>
        <v>0</v>
      </c>
    </row>
    <row r="29" spans="2:23" ht="15" customHeight="1" x14ac:dyDescent="0.3">
      <c r="B29" s="72" t="s">
        <v>68</v>
      </c>
      <c r="C29" s="66">
        <v>735</v>
      </c>
      <c r="D29" s="66">
        <v>736</v>
      </c>
      <c r="E29" s="67">
        <v>44734</v>
      </c>
      <c r="F29" s="80">
        <f>IFERROR(_xlfn.XLOOKUP(C29,'Data Share Units'!S:S,'Data Share Units'!G:G),0)</f>
        <v>0</v>
      </c>
      <c r="G29" s="80">
        <f>IFERROR(_xlfn.XLOOKUP(D29,'Data Share Units'!T:T,'Data Share Units'!H:H),0)</f>
        <v>0</v>
      </c>
      <c r="H29" s="79">
        <f t="shared" si="15"/>
        <v>0</v>
      </c>
      <c r="I29" s="79">
        <f t="shared" si="16"/>
        <v>0</v>
      </c>
      <c r="J29" s="70">
        <v>6.58</v>
      </c>
      <c r="K29" s="70">
        <f>_xlfn.XLOOKUP(C29,'Data Share Units'!S:S,'Data Share Units'!I:I,0)</f>
        <v>0</v>
      </c>
      <c r="L29" s="70">
        <f>_xlfn.XLOOKUP(D29,'Data Share Units'!T:T,'Data Share Units'!J:J,0)</f>
        <v>0</v>
      </c>
      <c r="M29" s="70">
        <f>IFERROR(-K29*F29,0)</f>
        <v>0</v>
      </c>
      <c r="N29" s="70">
        <f>IFERROR(-L29*G29,0)</f>
        <v>0</v>
      </c>
      <c r="O29" s="70">
        <f>F29*T28</f>
        <v>0</v>
      </c>
      <c r="P29" s="70">
        <f>G29*U28</f>
        <v>0</v>
      </c>
      <c r="Q29" s="88"/>
      <c r="R29" s="70">
        <f t="shared" si="17"/>
        <v>0</v>
      </c>
      <c r="S29" s="70">
        <f t="shared" si="14"/>
        <v>0</v>
      </c>
      <c r="T29" s="68">
        <f t="shared" si="10"/>
        <v>0</v>
      </c>
      <c r="U29" s="68">
        <f t="shared" si="11"/>
        <v>0</v>
      </c>
      <c r="V29" s="68">
        <f t="shared" si="12"/>
        <v>0</v>
      </c>
    </row>
    <row r="30" spans="2:23" ht="15" customHeight="1" x14ac:dyDescent="0.3">
      <c r="B30" s="72" t="str">
        <f>IF(F30&lt;0,"Transfer to Spouse",IF(F30&gt;0,"Transfer from spouse","Transfer"))</f>
        <v>Transfer</v>
      </c>
      <c r="C30" s="66">
        <v>739</v>
      </c>
      <c r="D30" s="66">
        <v>740</v>
      </c>
      <c r="E30" s="67">
        <v>44753</v>
      </c>
      <c r="F30" s="80">
        <f>IFERROR(_xlfn.XLOOKUP(C30,'Data Share Units'!S:S,'Data Share Units'!G:G),0)</f>
        <v>0</v>
      </c>
      <c r="G30" s="80">
        <f>IFERROR(_xlfn.XLOOKUP(D30,'Data Share Units'!T:T,'Data Share Units'!H:H),0)</f>
        <v>0</v>
      </c>
      <c r="H30" s="79">
        <f t="shared" si="15"/>
        <v>0</v>
      </c>
      <c r="I30" s="79">
        <f t="shared" si="16"/>
        <v>0</v>
      </c>
      <c r="J30" s="70">
        <v>6.58</v>
      </c>
      <c r="K30" s="69"/>
      <c r="L30" s="69"/>
      <c r="M30" s="69"/>
      <c r="N30" s="69"/>
      <c r="O30" s="70">
        <f t="shared" ref="O30:P35" si="18">IF(F30&gt;0,"Enter Value",F30*T29)</f>
        <v>0</v>
      </c>
      <c r="P30" s="70">
        <f t="shared" si="18"/>
        <v>0</v>
      </c>
      <c r="Q30" s="88"/>
      <c r="R30" s="70">
        <f t="shared" si="17"/>
        <v>0</v>
      </c>
      <c r="S30" s="70">
        <f t="shared" si="14"/>
        <v>0</v>
      </c>
      <c r="T30" s="68">
        <f t="shared" si="10"/>
        <v>0</v>
      </c>
      <c r="U30" s="68">
        <f t="shared" si="11"/>
        <v>0</v>
      </c>
      <c r="V30" s="68">
        <f t="shared" si="12"/>
        <v>0</v>
      </c>
      <c r="W30" s="71" t="s">
        <v>61</v>
      </c>
    </row>
    <row r="31" spans="2:23" ht="15" customHeight="1" x14ac:dyDescent="0.3">
      <c r="B31" s="72" t="str">
        <f>IF(F31&lt;0,"Transfer to Spouse",IF(F31&gt;0,"Transfer from spouse","Transfer"))</f>
        <v>Transfer</v>
      </c>
      <c r="C31" s="66">
        <v>742</v>
      </c>
      <c r="D31" s="66">
        <v>743</v>
      </c>
      <c r="E31" s="67">
        <v>44876</v>
      </c>
      <c r="F31" s="80">
        <f>IFERROR(_xlfn.XLOOKUP(C31,'Data Share Units'!S:S,'Data Share Units'!G:G),0)</f>
        <v>0</v>
      </c>
      <c r="G31" s="80">
        <f>IFERROR(_xlfn.XLOOKUP(D31,'Data Share Units'!T:T,'Data Share Units'!H:H),0)</f>
        <v>0</v>
      </c>
      <c r="H31" s="79">
        <f t="shared" si="15"/>
        <v>0</v>
      </c>
      <c r="I31" s="79">
        <f t="shared" si="16"/>
        <v>0</v>
      </c>
      <c r="J31" s="70">
        <v>6.58</v>
      </c>
      <c r="K31" s="69"/>
      <c r="L31" s="69"/>
      <c r="M31" s="69"/>
      <c r="N31" s="69"/>
      <c r="O31" s="70">
        <f t="shared" si="18"/>
        <v>0</v>
      </c>
      <c r="P31" s="70">
        <f t="shared" si="18"/>
        <v>0</v>
      </c>
      <c r="Q31" s="88"/>
      <c r="R31" s="70">
        <f t="shared" si="17"/>
        <v>0</v>
      </c>
      <c r="S31" s="70">
        <f t="shared" si="14"/>
        <v>0</v>
      </c>
      <c r="T31" s="68">
        <f t="shared" si="10"/>
        <v>0</v>
      </c>
      <c r="U31" s="68">
        <f t="shared" si="11"/>
        <v>0</v>
      </c>
      <c r="V31" s="68">
        <f t="shared" si="12"/>
        <v>0</v>
      </c>
      <c r="W31" s="71" t="s">
        <v>61</v>
      </c>
    </row>
    <row r="32" spans="2:23" ht="15" customHeight="1" x14ac:dyDescent="0.3">
      <c r="B32" s="72" t="s">
        <v>68</v>
      </c>
      <c r="C32" s="66">
        <v>745</v>
      </c>
      <c r="D32" s="66">
        <v>746</v>
      </c>
      <c r="E32" s="67">
        <v>44910</v>
      </c>
      <c r="F32" s="80">
        <f>IFERROR(_xlfn.XLOOKUP(C32,'Data Share Units'!S:S,'Data Share Units'!G:G),0)</f>
        <v>0</v>
      </c>
      <c r="G32" s="80">
        <f>IFERROR(_xlfn.XLOOKUP(D32,'Data Share Units'!T:T,'Data Share Units'!H:H),0)</f>
        <v>0</v>
      </c>
      <c r="H32" s="79">
        <f t="shared" si="15"/>
        <v>0</v>
      </c>
      <c r="I32" s="79">
        <f t="shared" si="16"/>
        <v>0</v>
      </c>
      <c r="J32" s="70">
        <v>6.58</v>
      </c>
      <c r="K32" s="70">
        <f>_xlfn.XLOOKUP(C32,'Data Share Units'!S:S,'Data Share Units'!I:I,0)</f>
        <v>0</v>
      </c>
      <c r="L32" s="70">
        <f>_xlfn.XLOOKUP(D32,'Data Share Units'!T:T,'Data Share Units'!J:J,0)</f>
        <v>0</v>
      </c>
      <c r="M32" s="70">
        <f>IFERROR(_xlfn.XLOOKUP(C32,#REF!,#REF!),0)*-1</f>
        <v>0</v>
      </c>
      <c r="N32" s="70">
        <f>IFERROR(_xlfn.XLOOKUP(D32,#REF!,#REF!),0)*-1</f>
        <v>0</v>
      </c>
      <c r="O32" s="70">
        <f t="shared" si="18"/>
        <v>0</v>
      </c>
      <c r="P32" s="70">
        <f t="shared" si="18"/>
        <v>0</v>
      </c>
      <c r="Q32" s="88"/>
      <c r="R32" s="70">
        <f t="shared" si="17"/>
        <v>0</v>
      </c>
      <c r="S32" s="70">
        <f t="shared" si="14"/>
        <v>0</v>
      </c>
      <c r="T32" s="68">
        <f t="shared" si="10"/>
        <v>0</v>
      </c>
      <c r="U32" s="68">
        <f t="shared" si="11"/>
        <v>0</v>
      </c>
      <c r="V32" s="68">
        <f t="shared" si="12"/>
        <v>0</v>
      </c>
    </row>
    <row r="33" spans="2:23" ht="15" customHeight="1" x14ac:dyDescent="0.3">
      <c r="B33" s="72" t="str">
        <f>IF(F33&lt;0,"Transfer to Spouse",IF(F33&gt;0,"Transfer from spouse","Transfer"))</f>
        <v>Transfer</v>
      </c>
      <c r="C33" s="66">
        <v>751</v>
      </c>
      <c r="D33" s="66">
        <v>752</v>
      </c>
      <c r="E33" s="67">
        <v>44965</v>
      </c>
      <c r="F33" s="80">
        <f>IFERROR(_xlfn.XLOOKUP(C33,'Data Share Units'!S:S,'Data Share Units'!G:G),0)</f>
        <v>0</v>
      </c>
      <c r="G33" s="80">
        <f>IFERROR(_xlfn.XLOOKUP(D33,'Data Share Units'!T:T,'Data Share Units'!H:H),0)</f>
        <v>0</v>
      </c>
      <c r="H33" s="79">
        <f t="shared" ref="H33:I35" si="19">IFERROR(H32+F33,"")</f>
        <v>0</v>
      </c>
      <c r="I33" s="79">
        <f t="shared" si="19"/>
        <v>0</v>
      </c>
      <c r="J33" s="70">
        <v>6.58</v>
      </c>
      <c r="K33" s="69"/>
      <c r="L33" s="69"/>
      <c r="M33" s="69"/>
      <c r="N33" s="69"/>
      <c r="O33" s="70">
        <f t="shared" si="18"/>
        <v>0</v>
      </c>
      <c r="P33" s="70">
        <f t="shared" si="18"/>
        <v>0</v>
      </c>
      <c r="Q33" s="88"/>
      <c r="R33" s="70">
        <f t="shared" si="17"/>
        <v>0</v>
      </c>
      <c r="S33" s="70">
        <f t="shared" si="14"/>
        <v>0</v>
      </c>
      <c r="T33" s="68">
        <f t="shared" si="10"/>
        <v>0</v>
      </c>
      <c r="U33" s="68">
        <f t="shared" si="11"/>
        <v>0</v>
      </c>
      <c r="V33" s="68">
        <f t="shared" si="12"/>
        <v>0</v>
      </c>
      <c r="W33" s="71" t="s">
        <v>61</v>
      </c>
    </row>
    <row r="34" spans="2:23" ht="15" customHeight="1" x14ac:dyDescent="0.3">
      <c r="B34" t="s">
        <v>71</v>
      </c>
      <c r="C34" s="66">
        <v>755</v>
      </c>
      <c r="D34" s="66">
        <v>756</v>
      </c>
      <c r="E34" s="67">
        <v>44993</v>
      </c>
      <c r="F34" s="80">
        <f>IFERROR(_xlfn.XLOOKUP(C34,'Data Share Units'!S:S,'Data Share Units'!G:G),0)</f>
        <v>0</v>
      </c>
      <c r="G34" s="80">
        <f>IFERROR(_xlfn.XLOOKUP(D34,'Data Share Units'!T:T,'Data Share Units'!H:H),0)</f>
        <v>0</v>
      </c>
      <c r="H34" s="79">
        <f t="shared" si="19"/>
        <v>0</v>
      </c>
      <c r="I34" s="79">
        <f t="shared" si="19"/>
        <v>0</v>
      </c>
      <c r="J34" s="70">
        <v>6.58</v>
      </c>
      <c r="K34" s="69"/>
      <c r="L34" s="69"/>
      <c r="M34" s="69"/>
      <c r="N34" s="69"/>
      <c r="O34" s="70">
        <f t="shared" si="18"/>
        <v>0</v>
      </c>
      <c r="P34" s="70">
        <f t="shared" si="18"/>
        <v>0</v>
      </c>
      <c r="Q34" s="88"/>
      <c r="R34" s="70">
        <f t="shared" si="17"/>
        <v>0</v>
      </c>
      <c r="S34" s="70">
        <f t="shared" si="14"/>
        <v>0</v>
      </c>
      <c r="T34" s="68">
        <f t="shared" si="10"/>
        <v>0</v>
      </c>
      <c r="U34" s="68">
        <f t="shared" si="11"/>
        <v>0</v>
      </c>
      <c r="V34" s="68">
        <f t="shared" si="12"/>
        <v>0</v>
      </c>
      <c r="W34" s="71" t="s">
        <v>61</v>
      </c>
    </row>
    <row r="35" spans="2:23" ht="15" customHeight="1" thickBot="1" x14ac:dyDescent="0.35">
      <c r="B35" t="s">
        <v>71</v>
      </c>
      <c r="C35" s="66">
        <v>757</v>
      </c>
      <c r="D35" s="66">
        <v>758</v>
      </c>
      <c r="E35" s="67">
        <v>45016</v>
      </c>
      <c r="F35" s="80">
        <f>IFERROR(_xlfn.XLOOKUP(C35,'Data Share Units'!S:S,'Data Share Units'!G:G),0)</f>
        <v>0</v>
      </c>
      <c r="G35" s="80">
        <f>IFERROR(_xlfn.XLOOKUP(D35,'Data Share Units'!T:T,'Data Share Units'!H:H),0)</f>
        <v>0</v>
      </c>
      <c r="H35" s="79">
        <f t="shared" si="19"/>
        <v>0</v>
      </c>
      <c r="I35" s="79">
        <f t="shared" si="19"/>
        <v>0</v>
      </c>
      <c r="J35" s="70">
        <v>6.58</v>
      </c>
      <c r="K35" s="69"/>
      <c r="L35" s="69"/>
      <c r="M35" s="69"/>
      <c r="N35" s="69"/>
      <c r="O35" s="70">
        <f t="shared" si="18"/>
        <v>0</v>
      </c>
      <c r="P35" s="70">
        <f t="shared" si="18"/>
        <v>0</v>
      </c>
      <c r="Q35" s="88"/>
      <c r="R35" s="70">
        <f t="shared" si="17"/>
        <v>0</v>
      </c>
      <c r="S35" s="70">
        <f t="shared" si="14"/>
        <v>0</v>
      </c>
      <c r="T35" s="68">
        <f t="shared" si="10"/>
        <v>0</v>
      </c>
      <c r="U35" s="68">
        <f t="shared" si="11"/>
        <v>0</v>
      </c>
      <c r="V35" s="68">
        <f t="shared" si="12"/>
        <v>0</v>
      </c>
      <c r="W35" s="71" t="s">
        <v>61</v>
      </c>
    </row>
    <row r="36" spans="2:23" ht="15" customHeight="1" thickBot="1" x14ac:dyDescent="0.35">
      <c r="B36" s="64" t="s">
        <v>72</v>
      </c>
      <c r="C36" s="77"/>
      <c r="D36" s="77"/>
      <c r="E36" s="77"/>
      <c r="F36" s="77"/>
      <c r="G36" s="77"/>
      <c r="H36" s="77"/>
      <c r="I36" s="77"/>
      <c r="J36" s="77"/>
      <c r="K36" s="77"/>
      <c r="L36" s="77"/>
      <c r="M36" s="77"/>
      <c r="N36" s="77"/>
      <c r="O36" s="107"/>
      <c r="P36" s="107"/>
      <c r="Q36" s="89"/>
      <c r="R36" s="77"/>
      <c r="S36" s="78"/>
      <c r="T36" s="64"/>
      <c r="U36" s="77"/>
      <c r="V36" s="78"/>
    </row>
    <row r="37" spans="2:23" ht="15" customHeight="1" x14ac:dyDescent="0.3">
      <c r="B37" s="72" t="s">
        <v>64</v>
      </c>
      <c r="C37" s="66">
        <v>760</v>
      </c>
      <c r="D37" s="66">
        <v>761</v>
      </c>
      <c r="E37" s="67">
        <v>45065</v>
      </c>
      <c r="F37" s="80">
        <f>IFERROR(_xlfn.XLOOKUP(C37,'Data Share Units'!S:S,'Data Share Units'!G:G),0)</f>
        <v>0</v>
      </c>
      <c r="G37" s="80">
        <f>IFERROR(_xlfn.XLOOKUP(D37,'Data Share Units'!T:T,'Data Share Units'!H:H),0)</f>
        <v>0</v>
      </c>
      <c r="H37" s="79">
        <f>IFERROR(H35+F37,"")</f>
        <v>0</v>
      </c>
      <c r="I37" s="79">
        <f>IFERROR(I35+G37,"")</f>
        <v>0</v>
      </c>
      <c r="J37" s="70">
        <v>7.4</v>
      </c>
      <c r="K37" s="70">
        <f>_xlfn.XLOOKUP(C37,'Data Share Units'!S:S,'Data Share Units'!I:I,0)</f>
        <v>0</v>
      </c>
      <c r="L37" s="70">
        <f>_xlfn.XLOOKUP(D37,'Data Share Units'!T:T,'Data Share Units'!J:J,0)</f>
        <v>0</v>
      </c>
      <c r="M37" s="70">
        <f>IFERROR(K37*F37,"")</f>
        <v>0</v>
      </c>
      <c r="N37" s="70">
        <f>IFERROR(G37*L37,"")</f>
        <v>0</v>
      </c>
      <c r="O37" s="70">
        <f>M37</f>
        <v>0</v>
      </c>
      <c r="P37" s="70">
        <f>N37</f>
        <v>0</v>
      </c>
      <c r="Q37" s="90">
        <f>IFERROR(IF((O37+P37)&gt;1000,CEILING((O37+P37)*0.005,5),0),"")</f>
        <v>0</v>
      </c>
      <c r="R37" s="70">
        <f>IF(F37&gt;0,R35+O37,IF(F37&lt;0,R35+F37*T35,IF(O37=0,R35)))</f>
        <v>0</v>
      </c>
      <c r="S37" s="70">
        <f>IF(G37&gt;0,S35+P37+Q37,IF(G37&lt;0,S35+G37*U35,IF(P37=0,S35)))</f>
        <v>0</v>
      </c>
      <c r="T37" s="68">
        <f t="shared" ref="T37:T48" si="20">IFERROR(R37/H37,0)</f>
        <v>0</v>
      </c>
      <c r="U37" s="68">
        <f t="shared" ref="U37:U48" si="21">IFERROR(S37/I37,0)</f>
        <v>0</v>
      </c>
      <c r="V37" s="68">
        <f t="shared" ref="V37:V48" si="22">IFERROR((R37+S37)/H37,0)</f>
        <v>0</v>
      </c>
    </row>
    <row r="38" spans="2:23" ht="15" customHeight="1" x14ac:dyDescent="0.3">
      <c r="B38" s="72" t="s">
        <v>68</v>
      </c>
      <c r="C38" s="66">
        <v>762</v>
      </c>
      <c r="D38" s="66">
        <v>763</v>
      </c>
      <c r="E38" s="67">
        <v>45065</v>
      </c>
      <c r="F38" s="80">
        <f>IFERROR(_xlfn.XLOOKUP(C38,'Data Share Units'!S:S,'Data Share Units'!G:G),0)</f>
        <v>0</v>
      </c>
      <c r="G38" s="80">
        <f>IFERROR(_xlfn.XLOOKUP(D38,'Data Share Units'!T:T,'Data Share Units'!H:H),0)</f>
        <v>0</v>
      </c>
      <c r="H38" s="79">
        <f>IFERROR(H37+F38,"")</f>
        <v>0</v>
      </c>
      <c r="I38" s="79">
        <f>IFERROR(I37+G38,"")</f>
        <v>0</v>
      </c>
      <c r="J38" s="70">
        <v>7.4</v>
      </c>
      <c r="K38" s="70">
        <f>_xlfn.XLOOKUP(C38,'Data Share Units'!S:S,'Data Share Units'!I:I,0)</f>
        <v>0</v>
      </c>
      <c r="L38" s="70">
        <f>_xlfn.XLOOKUP(D38,'Data Share Units'!T:T,'Data Share Units'!J:J,0)</f>
        <v>0</v>
      </c>
      <c r="M38" s="70">
        <f t="shared" ref="M38:M40" si="23">IFERROR(K38*F38,"")</f>
        <v>0</v>
      </c>
      <c r="N38" s="70">
        <f t="shared" ref="N38:N40" si="24">IFERROR(G38*L38,"")</f>
        <v>0</v>
      </c>
      <c r="O38" s="70">
        <f>IF(F38&gt;0,"Enter Value",F38*T37)</f>
        <v>0</v>
      </c>
      <c r="P38" s="70">
        <f>IF(G38&gt;0,"Enter Value",G38*U37)</f>
        <v>0</v>
      </c>
      <c r="Q38" s="88"/>
      <c r="R38" s="70">
        <f t="shared" ref="R38" si="25">IF(F38&gt;0,R37+O38,IF(F38&lt;0,R37+F38*T37,IF(O38=0,R37)))</f>
        <v>0</v>
      </c>
      <c r="S38" s="70">
        <f t="shared" ref="S38:S48" si="26">IF(G38&gt;0,S37+P38+Q38,IF(G38&lt;0,S37+G38*U37,IF(P38=0,S37)))</f>
        <v>0</v>
      </c>
      <c r="T38" s="68">
        <f t="shared" si="20"/>
        <v>0</v>
      </c>
      <c r="U38" s="68">
        <f t="shared" si="21"/>
        <v>0</v>
      </c>
      <c r="V38" s="68">
        <f t="shared" si="22"/>
        <v>0</v>
      </c>
    </row>
    <row r="39" spans="2:23" ht="15" customHeight="1" x14ac:dyDescent="0.3">
      <c r="B39" s="72" t="s">
        <v>65</v>
      </c>
      <c r="C39" s="66">
        <v>764</v>
      </c>
      <c r="D39" s="66">
        <v>765</v>
      </c>
      <c r="E39" s="67">
        <v>45065</v>
      </c>
      <c r="F39" s="80">
        <f>IFERROR(_xlfn.XLOOKUP(C39,'Data Share Units'!S:S,'Data Share Units'!G:G),0)</f>
        <v>0</v>
      </c>
      <c r="G39" s="80">
        <f>IFERROR(_xlfn.XLOOKUP(D39,'Data Share Units'!T:T,'Data Share Units'!H:H),0)</f>
        <v>0</v>
      </c>
      <c r="H39" s="79">
        <f t="shared" ref="H39:H46" si="27">IFERROR(H38+F39,"")</f>
        <v>0</v>
      </c>
      <c r="I39" s="79">
        <f t="shared" ref="I39:I46" si="28">IFERROR(I38+G39,"")</f>
        <v>0</v>
      </c>
      <c r="J39" s="70">
        <v>7.4</v>
      </c>
      <c r="K39" s="70">
        <f>_xlfn.XLOOKUP(C39,'Data Share Units'!S:S,'Data Share Units'!I:I,0)</f>
        <v>0</v>
      </c>
      <c r="L39" s="70">
        <f>_xlfn.XLOOKUP(D39,'Data Share Units'!T:T,'Data Share Units'!J:J,0)</f>
        <v>0</v>
      </c>
      <c r="M39" s="70">
        <f t="shared" si="23"/>
        <v>0</v>
      </c>
      <c r="N39" s="70">
        <f t="shared" si="24"/>
        <v>0</v>
      </c>
      <c r="O39" s="70">
        <f>M39</f>
        <v>0</v>
      </c>
      <c r="P39" s="70">
        <f>N39</f>
        <v>0</v>
      </c>
      <c r="Q39" s="90">
        <f>IFERROR(IF((O39+P39)&gt;1000,CEILING((O39+P39)*0.005,5),0),"")</f>
        <v>0</v>
      </c>
      <c r="R39" s="70">
        <f t="shared" ref="R39:R48" si="29">IF(F39&gt;0,R38+O39,IF(F39&lt;0,R38+F39*T38,IF(O39=0,R38)))</f>
        <v>0</v>
      </c>
      <c r="S39" s="70">
        <f t="shared" si="26"/>
        <v>0</v>
      </c>
      <c r="T39" s="68">
        <f t="shared" si="20"/>
        <v>0</v>
      </c>
      <c r="U39" s="68">
        <f t="shared" si="21"/>
        <v>0</v>
      </c>
      <c r="V39" s="68">
        <f t="shared" si="22"/>
        <v>0</v>
      </c>
    </row>
    <row r="40" spans="2:23" ht="15" customHeight="1" x14ac:dyDescent="0.3">
      <c r="B40" t="s">
        <v>70</v>
      </c>
      <c r="C40" s="66">
        <v>766</v>
      </c>
      <c r="D40" s="66">
        <v>767</v>
      </c>
      <c r="E40" s="67">
        <v>45065</v>
      </c>
      <c r="F40" s="80">
        <f>IFERROR(_xlfn.XLOOKUP(C40,'Data Share Units'!S:S,'Data Share Units'!G:G),0)</f>
        <v>0</v>
      </c>
      <c r="G40" s="80">
        <f>IFERROR(_xlfn.XLOOKUP(D40,'Data Share Units'!T:T,'Data Share Units'!H:H),0)</f>
        <v>0</v>
      </c>
      <c r="H40" s="79">
        <f t="shared" si="27"/>
        <v>0</v>
      </c>
      <c r="I40" s="79">
        <f t="shared" si="28"/>
        <v>0</v>
      </c>
      <c r="J40" s="70">
        <v>7.4</v>
      </c>
      <c r="K40" s="70">
        <f>_xlfn.XLOOKUP(C40,'Data Share Units'!S:S,'Data Share Units'!I:I,0)</f>
        <v>0</v>
      </c>
      <c r="L40" s="70">
        <f>_xlfn.XLOOKUP(D40,'Data Share Units'!T:T,'Data Share Units'!J:J,0)</f>
        <v>0</v>
      </c>
      <c r="M40" s="70">
        <f t="shared" si="23"/>
        <v>0</v>
      </c>
      <c r="N40" s="70">
        <f t="shared" si="24"/>
        <v>0</v>
      </c>
      <c r="O40" s="70">
        <f>M40</f>
        <v>0</v>
      </c>
      <c r="P40" s="70">
        <f>N40</f>
        <v>0</v>
      </c>
      <c r="Q40" s="90">
        <f>IFERROR(IF((O40+P40)&gt;1000,CEILING((O40+P40)*0.005,5),0),"")</f>
        <v>0</v>
      </c>
      <c r="R40" s="70">
        <f t="shared" si="29"/>
        <v>0</v>
      </c>
      <c r="S40" s="70">
        <f t="shared" si="26"/>
        <v>0</v>
      </c>
      <c r="T40" s="68">
        <f t="shared" si="20"/>
        <v>0</v>
      </c>
      <c r="U40" s="68">
        <f t="shared" si="21"/>
        <v>0</v>
      </c>
      <c r="V40" s="68">
        <f t="shared" si="22"/>
        <v>0</v>
      </c>
    </row>
    <row r="41" spans="2:23" ht="15" customHeight="1" x14ac:dyDescent="0.3">
      <c r="B41" t="s">
        <v>68</v>
      </c>
      <c r="C41" s="66">
        <v>768</v>
      </c>
      <c r="D41" s="66">
        <v>769</v>
      </c>
      <c r="E41" s="67">
        <v>45065</v>
      </c>
      <c r="F41" s="80">
        <f>IFERROR(_xlfn.XLOOKUP(C41,'Data Share Units'!S:S,'Data Share Units'!G:G),0)</f>
        <v>0</v>
      </c>
      <c r="G41" s="80">
        <f>IFERROR(_xlfn.XLOOKUP(D41,'Data Share Units'!T:T,'Data Share Units'!H:H),0)</f>
        <v>0</v>
      </c>
      <c r="H41" s="79">
        <f t="shared" si="27"/>
        <v>0</v>
      </c>
      <c r="I41" s="79">
        <f t="shared" si="28"/>
        <v>0</v>
      </c>
      <c r="J41" s="70">
        <v>7.4</v>
      </c>
      <c r="K41" s="70">
        <f>_xlfn.XLOOKUP(C41,'Data Share Units'!S:S,'Data Share Units'!I:I,0)</f>
        <v>0</v>
      </c>
      <c r="L41" s="70">
        <f>_xlfn.XLOOKUP(D41,'Data Share Units'!T:T,'Data Share Units'!J:J,0)</f>
        <v>0</v>
      </c>
      <c r="M41" s="70">
        <f t="shared" ref="M41:M42" si="30">IFERROR(K41*F41,"")</f>
        <v>0</v>
      </c>
      <c r="N41" s="70">
        <f t="shared" ref="N41:N42" si="31">IFERROR(G41*L41,"")</f>
        <v>0</v>
      </c>
      <c r="O41" s="70">
        <f t="shared" ref="O41:P48" si="32">IF(F41&gt;0,"Enter Value",F41*T40)</f>
        <v>0</v>
      </c>
      <c r="P41" s="70">
        <f t="shared" si="32"/>
        <v>0</v>
      </c>
      <c r="Q41" s="88"/>
      <c r="R41" s="70">
        <f t="shared" si="29"/>
        <v>0</v>
      </c>
      <c r="S41" s="70">
        <f t="shared" si="26"/>
        <v>0</v>
      </c>
      <c r="T41" s="68">
        <f t="shared" si="20"/>
        <v>0</v>
      </c>
      <c r="U41" s="68">
        <f t="shared" si="21"/>
        <v>0</v>
      </c>
      <c r="V41" s="68">
        <f t="shared" si="22"/>
        <v>0</v>
      </c>
    </row>
    <row r="42" spans="2:23" ht="15" customHeight="1" x14ac:dyDescent="0.3">
      <c r="B42" t="s">
        <v>68</v>
      </c>
      <c r="C42" s="66">
        <v>770</v>
      </c>
      <c r="D42" s="66">
        <v>771</v>
      </c>
      <c r="E42" s="67">
        <v>45065</v>
      </c>
      <c r="F42" s="80">
        <f>IFERROR(_xlfn.XLOOKUP(C42,'Data Share Units'!S:S,'Data Share Units'!G:G),0)</f>
        <v>0</v>
      </c>
      <c r="G42" s="80">
        <f>IFERROR(_xlfn.XLOOKUP(D42,'Data Share Units'!T:T,'Data Share Units'!H:H),0)</f>
        <v>0</v>
      </c>
      <c r="H42" s="79">
        <f t="shared" si="27"/>
        <v>0</v>
      </c>
      <c r="I42" s="79">
        <f t="shared" si="28"/>
        <v>0</v>
      </c>
      <c r="J42" s="70">
        <v>7.4</v>
      </c>
      <c r="K42" s="70">
        <f>_xlfn.XLOOKUP(C42,'Data Share Units'!S:S,'Data Share Units'!I:I,0)</f>
        <v>0</v>
      </c>
      <c r="L42" s="70">
        <f>_xlfn.XLOOKUP(D42,'Data Share Units'!T:T,'Data Share Units'!J:J,0)</f>
        <v>0</v>
      </c>
      <c r="M42" s="70">
        <f t="shared" si="30"/>
        <v>0</v>
      </c>
      <c r="N42" s="70">
        <f t="shared" si="31"/>
        <v>0</v>
      </c>
      <c r="O42" s="70">
        <f t="shared" si="32"/>
        <v>0</v>
      </c>
      <c r="P42" s="70">
        <f t="shared" si="32"/>
        <v>0</v>
      </c>
      <c r="Q42" s="88"/>
      <c r="R42" s="70">
        <f t="shared" si="29"/>
        <v>0</v>
      </c>
      <c r="S42" s="70">
        <f t="shared" si="26"/>
        <v>0</v>
      </c>
      <c r="T42" s="68">
        <f t="shared" si="20"/>
        <v>0</v>
      </c>
      <c r="U42" s="68">
        <f t="shared" si="21"/>
        <v>0</v>
      </c>
      <c r="V42" s="68">
        <f t="shared" si="22"/>
        <v>0</v>
      </c>
    </row>
    <row r="43" spans="2:23" ht="15" customHeight="1" x14ac:dyDescent="0.3">
      <c r="B43" s="72" t="s">
        <v>64</v>
      </c>
      <c r="C43" s="66">
        <v>776</v>
      </c>
      <c r="D43" s="66">
        <v>777</v>
      </c>
      <c r="E43" s="67">
        <v>45078</v>
      </c>
      <c r="F43" s="80">
        <f>IFERROR(_xlfn.XLOOKUP(C43,'Data Share Units'!S:S,'Data Share Units'!G:G),0)</f>
        <v>0</v>
      </c>
      <c r="G43" s="80">
        <f>IFERROR(_xlfn.XLOOKUP(D43,'Data Share Units'!T:T,'Data Share Units'!H:H),0)</f>
        <v>0</v>
      </c>
      <c r="H43" s="79">
        <f t="shared" si="27"/>
        <v>0</v>
      </c>
      <c r="I43" s="79">
        <f t="shared" si="28"/>
        <v>0</v>
      </c>
      <c r="J43" s="70">
        <v>7.4</v>
      </c>
      <c r="K43" s="70">
        <f>_xlfn.XLOOKUP(C43,'Data Share Units'!S:S,'Data Share Units'!I:I,0)</f>
        <v>0</v>
      </c>
      <c r="L43" s="70">
        <f>_xlfn.XLOOKUP(D43,'Data Share Units'!T:T,'Data Share Units'!J:J,0)</f>
        <v>0</v>
      </c>
      <c r="M43" s="70">
        <f t="shared" ref="M43" si="33">IFERROR(K43*F43,"")</f>
        <v>0</v>
      </c>
      <c r="N43" s="70">
        <f t="shared" ref="N43" si="34">IFERROR(G43*L43,"")</f>
        <v>0</v>
      </c>
      <c r="O43" s="70">
        <f t="shared" si="32"/>
        <v>0</v>
      </c>
      <c r="P43" s="70">
        <f t="shared" si="32"/>
        <v>0</v>
      </c>
      <c r="Q43" s="90">
        <f>IFERROR(IF((O43+P43)&gt;1000,CEILING((O43+P43)*0.005,5),0),"")</f>
        <v>0</v>
      </c>
      <c r="R43" s="70">
        <f t="shared" si="29"/>
        <v>0</v>
      </c>
      <c r="S43" s="70">
        <f t="shared" si="26"/>
        <v>0</v>
      </c>
      <c r="T43" s="68">
        <f t="shared" si="20"/>
        <v>0</v>
      </c>
      <c r="U43" s="68">
        <f t="shared" si="21"/>
        <v>0</v>
      </c>
      <c r="V43" s="68">
        <f t="shared" si="22"/>
        <v>0</v>
      </c>
    </row>
    <row r="44" spans="2:23" ht="15" customHeight="1" x14ac:dyDescent="0.3">
      <c r="B44" s="72" t="str">
        <f>IF(F44&lt;0,"Transfer to Spouse",IF(F44&gt;0,"Transfer from spouse","Transfer"))</f>
        <v>Transfer</v>
      </c>
      <c r="C44" s="66">
        <v>782</v>
      </c>
      <c r="D44" s="66">
        <v>783</v>
      </c>
      <c r="E44" s="67">
        <v>45124</v>
      </c>
      <c r="F44" s="80">
        <f>IFERROR(_xlfn.XLOOKUP(C44,'Data Share Units'!S:S,'Data Share Units'!G:G),0)</f>
        <v>0</v>
      </c>
      <c r="G44" s="80">
        <f>IFERROR(_xlfn.XLOOKUP(D44,'Data Share Units'!T:T,'Data Share Units'!H:H),0)</f>
        <v>0</v>
      </c>
      <c r="H44" s="79">
        <f t="shared" si="27"/>
        <v>0</v>
      </c>
      <c r="I44" s="79">
        <f t="shared" si="28"/>
        <v>0</v>
      </c>
      <c r="J44" s="70">
        <v>7.4</v>
      </c>
      <c r="K44" s="69"/>
      <c r="L44" s="69"/>
      <c r="M44" s="69"/>
      <c r="N44" s="69"/>
      <c r="O44" s="70">
        <f t="shared" si="32"/>
        <v>0</v>
      </c>
      <c r="P44" s="70">
        <f t="shared" si="32"/>
        <v>0</v>
      </c>
      <c r="Q44" s="88"/>
      <c r="R44" s="70">
        <f t="shared" si="29"/>
        <v>0</v>
      </c>
      <c r="S44" s="70">
        <f t="shared" si="26"/>
        <v>0</v>
      </c>
      <c r="T44" s="68">
        <f t="shared" si="20"/>
        <v>0</v>
      </c>
      <c r="U44" s="68">
        <f t="shared" si="21"/>
        <v>0</v>
      </c>
      <c r="V44" s="68">
        <f t="shared" si="22"/>
        <v>0</v>
      </c>
    </row>
    <row r="45" spans="2:23" ht="15" customHeight="1" x14ac:dyDescent="0.3">
      <c r="B45" t="s">
        <v>68</v>
      </c>
      <c r="C45" s="66">
        <v>785</v>
      </c>
      <c r="D45" s="66">
        <v>786</v>
      </c>
      <c r="E45" s="67">
        <v>45133</v>
      </c>
      <c r="F45" s="80">
        <f>IFERROR(_xlfn.XLOOKUP(C45,'Data Share Units'!S:S,'Data Share Units'!G:G),0)</f>
        <v>0</v>
      </c>
      <c r="G45" s="80">
        <f>IFERROR(_xlfn.XLOOKUP(D45,'Data Share Units'!T:T,'Data Share Units'!H:H),0)</f>
        <v>0</v>
      </c>
      <c r="H45" s="79">
        <f t="shared" si="27"/>
        <v>0</v>
      </c>
      <c r="I45" s="79">
        <f t="shared" si="28"/>
        <v>0</v>
      </c>
      <c r="J45" s="70">
        <v>7.4</v>
      </c>
      <c r="K45" s="70">
        <f>_xlfn.XLOOKUP(C45,'Data Share Units'!S:S,'Data Share Units'!I:I,0)</f>
        <v>0</v>
      </c>
      <c r="L45" s="70">
        <f>_xlfn.XLOOKUP(D45,'Data Share Units'!T:T,'Data Share Units'!J:J,0)</f>
        <v>0</v>
      </c>
      <c r="M45" s="70">
        <f t="shared" ref="M45:M47" si="35">IFERROR(K45*F45,"")</f>
        <v>0</v>
      </c>
      <c r="N45" s="70">
        <f t="shared" ref="N45:N47" si="36">IFERROR(G45*L45,"")</f>
        <v>0</v>
      </c>
      <c r="O45" s="70">
        <f t="shared" si="32"/>
        <v>0</v>
      </c>
      <c r="P45" s="70">
        <f t="shared" si="32"/>
        <v>0</v>
      </c>
      <c r="Q45" s="88"/>
      <c r="R45" s="70">
        <f t="shared" si="29"/>
        <v>0</v>
      </c>
      <c r="S45" s="70">
        <f t="shared" si="26"/>
        <v>0</v>
      </c>
      <c r="T45" s="68">
        <f t="shared" si="20"/>
        <v>0</v>
      </c>
      <c r="U45" s="68">
        <f t="shared" si="21"/>
        <v>0</v>
      </c>
      <c r="V45" s="68">
        <f t="shared" si="22"/>
        <v>0</v>
      </c>
    </row>
    <row r="46" spans="2:23" ht="15" customHeight="1" x14ac:dyDescent="0.3">
      <c r="B46" t="s">
        <v>68</v>
      </c>
      <c r="C46" s="66">
        <v>787</v>
      </c>
      <c r="D46" s="66">
        <v>788</v>
      </c>
      <c r="E46" s="67">
        <v>45191</v>
      </c>
      <c r="F46" s="80">
        <f>IFERROR(_xlfn.XLOOKUP(C46,'Data Share Units'!S:S,'Data Share Units'!G:G),0)</f>
        <v>0</v>
      </c>
      <c r="G46" s="80">
        <f>IFERROR(_xlfn.XLOOKUP(D46,'Data Share Units'!T:T,'Data Share Units'!H:H),0)</f>
        <v>0</v>
      </c>
      <c r="H46" s="79">
        <f t="shared" si="27"/>
        <v>0</v>
      </c>
      <c r="I46" s="79">
        <f t="shared" si="28"/>
        <v>0</v>
      </c>
      <c r="J46" s="70">
        <v>7.4</v>
      </c>
      <c r="K46" s="70">
        <f>_xlfn.XLOOKUP(C46,'Data Share Units'!S:S,'Data Share Units'!I:I,0)</f>
        <v>0</v>
      </c>
      <c r="L46" s="70">
        <f>_xlfn.XLOOKUP(D46,'Data Share Units'!T:T,'Data Share Units'!J:J,0)</f>
        <v>0</v>
      </c>
      <c r="M46" s="70">
        <f t="shared" si="35"/>
        <v>0</v>
      </c>
      <c r="N46" s="70">
        <f t="shared" si="36"/>
        <v>0</v>
      </c>
      <c r="O46" s="70">
        <f t="shared" si="32"/>
        <v>0</v>
      </c>
      <c r="P46" s="70">
        <f t="shared" si="32"/>
        <v>0</v>
      </c>
      <c r="Q46" s="88"/>
      <c r="R46" s="70">
        <f t="shared" si="29"/>
        <v>0</v>
      </c>
      <c r="S46" s="70">
        <f t="shared" si="26"/>
        <v>0</v>
      </c>
      <c r="T46" s="68">
        <f t="shared" si="20"/>
        <v>0</v>
      </c>
      <c r="U46" s="68">
        <f t="shared" si="21"/>
        <v>0</v>
      </c>
      <c r="V46" s="68">
        <f t="shared" si="22"/>
        <v>0</v>
      </c>
    </row>
    <row r="47" spans="2:23" ht="15" customHeight="1" x14ac:dyDescent="0.3">
      <c r="B47" t="s">
        <v>68</v>
      </c>
      <c r="C47" s="66">
        <v>795</v>
      </c>
      <c r="D47" s="66">
        <v>796</v>
      </c>
      <c r="E47" s="67">
        <v>45261</v>
      </c>
      <c r="F47" s="80">
        <f>IFERROR(_xlfn.XLOOKUP(C47,'Data Share Units'!S:S,'Data Share Units'!G:G),0)</f>
        <v>0</v>
      </c>
      <c r="G47" s="80">
        <f>IFERROR(_xlfn.XLOOKUP(D47,'Data Share Units'!T:T,'Data Share Units'!H:H),0)</f>
        <v>0</v>
      </c>
      <c r="H47" s="79">
        <f>IFERROR(H46+F47,"")</f>
        <v>0</v>
      </c>
      <c r="I47" s="79">
        <f>IFERROR(I46+G47,"")</f>
        <v>0</v>
      </c>
      <c r="J47" s="70">
        <v>7.4</v>
      </c>
      <c r="K47" s="70">
        <f>_xlfn.XLOOKUP(C47,'Data Share Units'!S:S,'Data Share Units'!I:I,0)</f>
        <v>0</v>
      </c>
      <c r="L47" s="70">
        <f>_xlfn.XLOOKUP(D47,'Data Share Units'!T:T,'Data Share Units'!J:J,0)</f>
        <v>0</v>
      </c>
      <c r="M47" s="70">
        <f t="shared" si="35"/>
        <v>0</v>
      </c>
      <c r="N47" s="70">
        <f t="shared" si="36"/>
        <v>0</v>
      </c>
      <c r="O47" s="70">
        <f t="shared" si="32"/>
        <v>0</v>
      </c>
      <c r="P47" s="70">
        <f t="shared" si="32"/>
        <v>0</v>
      </c>
      <c r="Q47" s="88"/>
      <c r="R47" s="70">
        <f t="shared" si="29"/>
        <v>0</v>
      </c>
      <c r="S47" s="70">
        <f t="shared" si="26"/>
        <v>0</v>
      </c>
      <c r="T47" s="68">
        <f t="shared" si="20"/>
        <v>0</v>
      </c>
      <c r="U47" s="68">
        <f t="shared" si="21"/>
        <v>0</v>
      </c>
      <c r="V47" s="68">
        <f t="shared" si="22"/>
        <v>0</v>
      </c>
    </row>
    <row r="48" spans="2:23" ht="15" customHeight="1" thickBot="1" x14ac:dyDescent="0.35">
      <c r="B48" s="72" t="str">
        <f>IF(F48&lt;0,"Transfer to Spouse",IF(F48&gt;0,"Transfer from spouse","Transfer"))</f>
        <v>Transfer</v>
      </c>
      <c r="C48" s="66">
        <v>803</v>
      </c>
      <c r="D48" s="66">
        <v>804</v>
      </c>
      <c r="E48" s="67">
        <v>45257</v>
      </c>
      <c r="F48" s="80">
        <f>IFERROR(_xlfn.XLOOKUP(C48,'Data Share Units'!S:S,'Data Share Units'!G:G),0)</f>
        <v>0</v>
      </c>
      <c r="G48" s="80">
        <f>IFERROR(_xlfn.XLOOKUP(D48,'Data Share Units'!T:T,'Data Share Units'!H:H),0)</f>
        <v>0</v>
      </c>
      <c r="H48" s="79">
        <f>IFERROR(H47+F48,"")</f>
        <v>0</v>
      </c>
      <c r="I48" s="79">
        <f>IFERROR(I47+G48,"")</f>
        <v>0</v>
      </c>
      <c r="J48" s="70">
        <v>7.4</v>
      </c>
      <c r="K48" s="69"/>
      <c r="L48" s="69"/>
      <c r="M48" s="69"/>
      <c r="N48" s="69"/>
      <c r="O48" s="70">
        <f t="shared" si="32"/>
        <v>0</v>
      </c>
      <c r="P48" s="70">
        <f t="shared" si="32"/>
        <v>0</v>
      </c>
      <c r="Q48" s="88"/>
      <c r="R48" s="70">
        <f t="shared" si="29"/>
        <v>0</v>
      </c>
      <c r="S48" s="70">
        <f t="shared" si="26"/>
        <v>0</v>
      </c>
      <c r="T48" s="68">
        <f t="shared" si="20"/>
        <v>0</v>
      </c>
      <c r="U48" s="68">
        <f t="shared" si="21"/>
        <v>0</v>
      </c>
      <c r="V48" s="68">
        <f t="shared" si="22"/>
        <v>0</v>
      </c>
      <c r="W48" s="71" t="s">
        <v>61</v>
      </c>
    </row>
    <row r="49" spans="2:23" ht="15" customHeight="1" thickBot="1" x14ac:dyDescent="0.35">
      <c r="B49" s="64" t="s">
        <v>73</v>
      </c>
      <c r="C49" s="77"/>
      <c r="D49" s="77"/>
      <c r="E49" s="77"/>
      <c r="F49" s="77"/>
      <c r="G49" s="77"/>
      <c r="H49" s="77"/>
      <c r="I49" s="77"/>
      <c r="J49" s="77"/>
      <c r="K49" s="77"/>
      <c r="L49" s="77"/>
      <c r="M49" s="77"/>
      <c r="N49" s="77"/>
      <c r="O49" s="107"/>
      <c r="P49" s="107"/>
      <c r="Q49" s="89"/>
      <c r="R49" s="77"/>
      <c r="S49" s="78"/>
      <c r="T49" s="64"/>
      <c r="U49" s="77"/>
      <c r="V49" s="78"/>
    </row>
    <row r="50" spans="2:23" ht="15" customHeight="1" x14ac:dyDescent="0.3">
      <c r="B50" s="72" t="s">
        <v>64</v>
      </c>
      <c r="C50" s="66">
        <v>809</v>
      </c>
      <c r="D50" s="66">
        <v>810</v>
      </c>
      <c r="E50" s="67">
        <v>45422</v>
      </c>
      <c r="F50" s="80">
        <f>IFERROR(_xlfn.XLOOKUP(C50,'Data Share Units'!S:S,'Data Share Units'!G:G),0)</f>
        <v>0</v>
      </c>
      <c r="G50" s="80">
        <f>IFERROR(_xlfn.XLOOKUP(D50,'Data Share Units'!T:T,'Data Share Units'!H:H),0)</f>
        <v>0</v>
      </c>
      <c r="H50" s="79">
        <f>IFERROR(H48+F50,"")</f>
        <v>0</v>
      </c>
      <c r="I50" s="79">
        <f>IFERROR(I48+G50,"")</f>
        <v>0</v>
      </c>
      <c r="J50" s="70">
        <v>8.06</v>
      </c>
      <c r="K50" s="70">
        <f>_xlfn.XLOOKUP(C50,'Data Share Units'!S:S,'Data Share Units'!I:I,0)</f>
        <v>0</v>
      </c>
      <c r="L50" s="70">
        <f>_xlfn.XLOOKUP(D50,'Data Share Units'!T:T,'Data Share Units'!J:J,0)</f>
        <v>0</v>
      </c>
      <c r="M50" s="70">
        <f t="shared" ref="M50" si="37">IFERROR(K50*F50,"")</f>
        <v>0</v>
      </c>
      <c r="N50" s="70">
        <f t="shared" ref="N50" si="38">IFERROR(G50*L50,"")</f>
        <v>0</v>
      </c>
      <c r="O50" s="70">
        <f>M50</f>
        <v>0</v>
      </c>
      <c r="P50" s="70">
        <f>N50</f>
        <v>0</v>
      </c>
      <c r="Q50" s="90">
        <f>IFERROR(IF((O50+P50)&gt;1000,CEILING((O50+P50)*0.005,5),0),"")</f>
        <v>0</v>
      </c>
      <c r="R50" s="70">
        <f>IF(F50&gt;0,R48+O50,IF(F50&lt;0,R48+F50*T48,IF(O50=0,R48)))</f>
        <v>0</v>
      </c>
      <c r="S50" s="70">
        <f>IF(G50&gt;0,S48+P50+Q50,IF(G50&lt;0,S48+G50*U48,IF(P50=0,S48)))</f>
        <v>0</v>
      </c>
      <c r="T50" s="68">
        <f t="shared" ref="T50:T65" si="39">IFERROR(R50/H50,0)</f>
        <v>0</v>
      </c>
      <c r="U50" s="68">
        <f t="shared" ref="U50:U65" si="40">IFERROR(S50/I50,0)</f>
        <v>0</v>
      </c>
      <c r="V50" s="68">
        <f t="shared" ref="V50:V65" si="41">IFERROR((R50+S50)/H50,0)</f>
        <v>0</v>
      </c>
    </row>
    <row r="51" spans="2:23" ht="15" customHeight="1" x14ac:dyDescent="0.3">
      <c r="B51" s="72" t="s">
        <v>68</v>
      </c>
      <c r="C51" s="66">
        <v>811</v>
      </c>
      <c r="D51" s="66">
        <v>812</v>
      </c>
      <c r="E51" s="67">
        <v>45422</v>
      </c>
      <c r="F51" s="80">
        <f>IFERROR(_xlfn.XLOOKUP(C51,'Data Share Units'!S:S,'Data Share Units'!G:G),0)</f>
        <v>0</v>
      </c>
      <c r="G51" s="80">
        <f>IFERROR(_xlfn.XLOOKUP(D51,'Data Share Units'!T:T,'Data Share Units'!H:H),0)</f>
        <v>0</v>
      </c>
      <c r="H51" s="79">
        <f t="shared" ref="H51:H65" si="42">IFERROR(H50+F51,"")</f>
        <v>0</v>
      </c>
      <c r="I51" s="79">
        <f t="shared" ref="I51:I65" si="43">IFERROR(I50+G51,"")</f>
        <v>0</v>
      </c>
      <c r="J51" s="70">
        <v>8.06</v>
      </c>
      <c r="K51" s="70">
        <f>_xlfn.XLOOKUP(C51,'Data Share Units'!S:S,'Data Share Units'!I:I,0)</f>
        <v>0</v>
      </c>
      <c r="L51" s="70">
        <f>_xlfn.XLOOKUP(D51,'Data Share Units'!T:T,'Data Share Units'!J:J,0)</f>
        <v>0</v>
      </c>
      <c r="M51" s="70">
        <f>IFERROR(K51*F51,"")</f>
        <v>0</v>
      </c>
      <c r="N51" s="70">
        <f>IFERROR(G51*L51,"")</f>
        <v>0</v>
      </c>
      <c r="O51" s="70">
        <f>IF(F51&gt;0,"Enter Value",F51*T50)</f>
        <v>0</v>
      </c>
      <c r="P51" s="70">
        <f>IF(G51&gt;0,"Enter Value",G51*U50)</f>
        <v>0</v>
      </c>
      <c r="Q51" s="88"/>
      <c r="R51" s="70">
        <f t="shared" ref="R51" si="44">IF(F51&gt;0,R50+O51,IF(F51&lt;0,R50+F51*T50,IF(O51=0,R50)))</f>
        <v>0</v>
      </c>
      <c r="S51" s="70">
        <f t="shared" ref="S51:S65" si="45">IF(G51&gt;0,S50+P51+Q51,IF(G51&lt;0,S50+G51*U50,IF(P51=0,S50)))</f>
        <v>0</v>
      </c>
      <c r="T51" s="68">
        <f t="shared" si="39"/>
        <v>0</v>
      </c>
      <c r="U51" s="68">
        <f t="shared" si="40"/>
        <v>0</v>
      </c>
      <c r="V51" s="68">
        <f t="shared" si="41"/>
        <v>0</v>
      </c>
    </row>
    <row r="52" spans="2:23" ht="15" customHeight="1" x14ac:dyDescent="0.3">
      <c r="B52" s="72" t="s">
        <v>70</v>
      </c>
      <c r="C52" s="66">
        <v>813</v>
      </c>
      <c r="D52" s="66">
        <v>814</v>
      </c>
      <c r="E52" s="67">
        <v>45422</v>
      </c>
      <c r="F52" s="80">
        <f>IFERROR(_xlfn.XLOOKUP(C52,'Data Share Units'!S:S,'Data Share Units'!G:G),0)</f>
        <v>0</v>
      </c>
      <c r="G52" s="80">
        <f>IFERROR(_xlfn.XLOOKUP(D52,'Data Share Units'!T:T,'Data Share Units'!H:H),0)</f>
        <v>0</v>
      </c>
      <c r="H52" s="79">
        <f t="shared" si="42"/>
        <v>0</v>
      </c>
      <c r="I52" s="79">
        <f t="shared" si="43"/>
        <v>0</v>
      </c>
      <c r="J52" s="70">
        <v>8.06</v>
      </c>
      <c r="K52" s="70">
        <f>_xlfn.XLOOKUP(C52,'Data Share Units'!S:S,'Data Share Units'!I:I,0)</f>
        <v>0</v>
      </c>
      <c r="L52" s="70">
        <f>_xlfn.XLOOKUP(D52,'Data Share Units'!T:T,'Data Share Units'!J:J,0)</f>
        <v>0</v>
      </c>
      <c r="M52" s="70">
        <f t="shared" ref="M52:M58" si="46">IFERROR(K52*F52,"")</f>
        <v>0</v>
      </c>
      <c r="N52" s="70">
        <f t="shared" ref="N52" si="47">IFERROR(G52*L52,"")</f>
        <v>0</v>
      </c>
      <c r="O52" s="70">
        <f>M52</f>
        <v>0</v>
      </c>
      <c r="P52" s="70">
        <f>N52</f>
        <v>0</v>
      </c>
      <c r="Q52" s="90">
        <f>IFERROR(IF((O52+P52)&gt;1000,CEILING((O52+P52)*0.005,5),0),"")</f>
        <v>0</v>
      </c>
      <c r="R52" s="70">
        <f t="shared" ref="R52:R65" si="48">IF(F52&gt;0,R51+O52,IF(F52&lt;0,R51+F52*T51,IF(O52=0,R51)))</f>
        <v>0</v>
      </c>
      <c r="S52" s="70">
        <f t="shared" si="45"/>
        <v>0</v>
      </c>
      <c r="T52" s="68">
        <f t="shared" si="39"/>
        <v>0</v>
      </c>
      <c r="U52" s="68">
        <f t="shared" si="40"/>
        <v>0</v>
      </c>
      <c r="V52" s="68">
        <f t="shared" si="41"/>
        <v>0</v>
      </c>
    </row>
    <row r="53" spans="2:23" ht="15" customHeight="1" x14ac:dyDescent="0.3">
      <c r="B53" s="72" t="s">
        <v>65</v>
      </c>
      <c r="C53" s="66">
        <v>815</v>
      </c>
      <c r="D53" s="66">
        <v>816</v>
      </c>
      <c r="E53" s="67">
        <v>45422</v>
      </c>
      <c r="F53" s="80">
        <f>IFERROR(_xlfn.XLOOKUP(C53,'Data Share Units'!S:S,'Data Share Units'!G:G),0)</f>
        <v>0</v>
      </c>
      <c r="G53" s="80">
        <f>IFERROR(_xlfn.XLOOKUP(D53,'Data Share Units'!T:T,'Data Share Units'!H:H),0)</f>
        <v>0</v>
      </c>
      <c r="H53" s="79">
        <f t="shared" si="42"/>
        <v>0</v>
      </c>
      <c r="I53" s="79">
        <f t="shared" si="43"/>
        <v>0</v>
      </c>
      <c r="J53" s="70">
        <v>8.06</v>
      </c>
      <c r="K53" s="70">
        <f>_xlfn.XLOOKUP(C53,'Data Share Units'!S:S,'Data Share Units'!I:I,0)</f>
        <v>0</v>
      </c>
      <c r="L53" s="70">
        <f>_xlfn.XLOOKUP(D53,'Data Share Units'!T:T,'Data Share Units'!J:J,0)</f>
        <v>0</v>
      </c>
      <c r="M53" s="70">
        <f t="shared" si="46"/>
        <v>0</v>
      </c>
      <c r="N53" s="70">
        <f>IFERROR(G53*L53,"")</f>
        <v>0</v>
      </c>
      <c r="O53" s="70">
        <f>M53</f>
        <v>0</v>
      </c>
      <c r="P53" s="70">
        <f>N53</f>
        <v>0</v>
      </c>
      <c r="Q53" s="90">
        <f>IFERROR(IF((O53+P53)&gt;1000,CEILING((O53+P53)*0.005,5),0),"")</f>
        <v>0</v>
      </c>
      <c r="R53" s="70">
        <f t="shared" si="48"/>
        <v>0</v>
      </c>
      <c r="S53" s="70">
        <f t="shared" si="45"/>
        <v>0</v>
      </c>
      <c r="T53" s="68">
        <f t="shared" si="39"/>
        <v>0</v>
      </c>
      <c r="U53" s="68">
        <f t="shared" si="40"/>
        <v>0</v>
      </c>
      <c r="V53" s="68">
        <f t="shared" si="41"/>
        <v>0</v>
      </c>
    </row>
    <row r="54" spans="2:23" ht="15" customHeight="1" x14ac:dyDescent="0.3">
      <c r="B54" s="72" t="s">
        <v>68</v>
      </c>
      <c r="C54" s="66">
        <v>817</v>
      </c>
      <c r="D54" s="66">
        <v>818</v>
      </c>
      <c r="E54" s="67">
        <v>45422</v>
      </c>
      <c r="F54" s="80">
        <f>IFERROR(_xlfn.XLOOKUP(C54,'Data Share Units'!S:S,'Data Share Units'!G:G),0)</f>
        <v>0</v>
      </c>
      <c r="G54" s="80">
        <f>IFERROR(_xlfn.XLOOKUP(D54,'Data Share Units'!T:T,'Data Share Units'!H:H),0)</f>
        <v>0</v>
      </c>
      <c r="H54" s="79">
        <f t="shared" si="42"/>
        <v>0</v>
      </c>
      <c r="I54" s="79">
        <f t="shared" si="43"/>
        <v>0</v>
      </c>
      <c r="J54" s="70">
        <v>8.06</v>
      </c>
      <c r="K54" s="70">
        <f>_xlfn.XLOOKUP(C54,'Data Share Units'!S:S,'Data Share Units'!I:I,0)</f>
        <v>0</v>
      </c>
      <c r="L54" s="70">
        <f>_xlfn.XLOOKUP(D54,'Data Share Units'!T:T,'Data Share Units'!J:J,0)</f>
        <v>0</v>
      </c>
      <c r="M54" s="70">
        <f t="shared" si="46"/>
        <v>0</v>
      </c>
      <c r="N54" s="70">
        <f t="shared" ref="N54:N55" si="49">IFERROR(G54*L54,"")</f>
        <v>0</v>
      </c>
      <c r="O54" s="70">
        <f t="shared" ref="O54:O65" si="50">IF(F54&gt;0,"Enter Value",F54*T53)</f>
        <v>0</v>
      </c>
      <c r="P54" s="70">
        <f t="shared" ref="P54:P65" si="51">IF(G54&gt;0,"Enter Value",G54*U53)</f>
        <v>0</v>
      </c>
      <c r="Q54" s="88"/>
      <c r="R54" s="70">
        <f t="shared" si="48"/>
        <v>0</v>
      </c>
      <c r="S54" s="70">
        <f t="shared" si="45"/>
        <v>0</v>
      </c>
      <c r="T54" s="68">
        <f t="shared" si="39"/>
        <v>0</v>
      </c>
      <c r="U54" s="68">
        <f t="shared" si="40"/>
        <v>0</v>
      </c>
      <c r="V54" s="68">
        <f t="shared" si="41"/>
        <v>0</v>
      </c>
    </row>
    <row r="55" spans="2:23" ht="15" customHeight="1" x14ac:dyDescent="0.3">
      <c r="B55" s="72" t="s">
        <v>68</v>
      </c>
      <c r="C55" s="66">
        <v>819</v>
      </c>
      <c r="D55" s="66">
        <v>820</v>
      </c>
      <c r="E55" s="67">
        <v>45422</v>
      </c>
      <c r="F55" s="80">
        <f>IFERROR(_xlfn.XLOOKUP(C55,'Data Share Units'!S:S,'Data Share Units'!G:G),0)</f>
        <v>0</v>
      </c>
      <c r="G55" s="80">
        <f>IFERROR(_xlfn.XLOOKUP(D55,'Data Share Units'!T:T,'Data Share Units'!H:H),0)</f>
        <v>0</v>
      </c>
      <c r="H55" s="79">
        <f t="shared" si="42"/>
        <v>0</v>
      </c>
      <c r="I55" s="79">
        <f t="shared" si="43"/>
        <v>0</v>
      </c>
      <c r="J55" s="70">
        <v>8.06</v>
      </c>
      <c r="K55" s="70">
        <f>_xlfn.XLOOKUP(C55,'Data Share Units'!S:S,'Data Share Units'!I:I,0)</f>
        <v>0</v>
      </c>
      <c r="L55" s="70">
        <f>_xlfn.XLOOKUP(D55,'Data Share Units'!T:T,'Data Share Units'!J:J,0)</f>
        <v>0</v>
      </c>
      <c r="M55" s="70">
        <f t="shared" si="46"/>
        <v>0</v>
      </c>
      <c r="N55" s="70">
        <f t="shared" si="49"/>
        <v>0</v>
      </c>
      <c r="O55" s="70">
        <f t="shared" si="50"/>
        <v>0</v>
      </c>
      <c r="P55" s="70">
        <f t="shared" si="51"/>
        <v>0</v>
      </c>
      <c r="Q55" s="88"/>
      <c r="R55" s="70">
        <f t="shared" si="48"/>
        <v>0</v>
      </c>
      <c r="S55" s="70">
        <f t="shared" si="45"/>
        <v>0</v>
      </c>
      <c r="T55" s="68">
        <f t="shared" si="39"/>
        <v>0</v>
      </c>
      <c r="U55" s="68">
        <f t="shared" si="40"/>
        <v>0</v>
      </c>
      <c r="V55" s="68">
        <f t="shared" si="41"/>
        <v>0</v>
      </c>
    </row>
    <row r="56" spans="2:23" ht="15" customHeight="1" x14ac:dyDescent="0.3">
      <c r="B56" s="72" t="s">
        <v>71</v>
      </c>
      <c r="C56" s="66">
        <v>829</v>
      </c>
      <c r="D56" s="66">
        <v>830</v>
      </c>
      <c r="E56" s="67">
        <v>45477</v>
      </c>
      <c r="F56" s="80">
        <f>IFERROR(_xlfn.XLOOKUP(C56,'Data Share Units'!S:S,'Data Share Units'!G:G),0)</f>
        <v>0</v>
      </c>
      <c r="G56" s="80">
        <f>IFERROR(_xlfn.XLOOKUP(D56,'Data Share Units'!T:T,'Data Share Units'!H:H),0)</f>
        <v>0</v>
      </c>
      <c r="H56" s="79">
        <f t="shared" si="42"/>
        <v>0</v>
      </c>
      <c r="I56" s="79">
        <f t="shared" si="43"/>
        <v>0</v>
      </c>
      <c r="J56" s="70">
        <v>8.06</v>
      </c>
      <c r="K56" s="69"/>
      <c r="L56" s="69"/>
      <c r="M56" s="69"/>
      <c r="N56" s="69"/>
      <c r="O56" s="70">
        <f t="shared" si="50"/>
        <v>0</v>
      </c>
      <c r="P56" s="70">
        <f t="shared" si="51"/>
        <v>0</v>
      </c>
      <c r="Q56" s="88"/>
      <c r="R56" s="70">
        <f t="shared" si="48"/>
        <v>0</v>
      </c>
      <c r="S56" s="70">
        <f t="shared" si="45"/>
        <v>0</v>
      </c>
      <c r="T56" s="68">
        <f t="shared" si="39"/>
        <v>0</v>
      </c>
      <c r="U56" s="68">
        <f t="shared" si="40"/>
        <v>0</v>
      </c>
      <c r="V56" s="68">
        <f t="shared" si="41"/>
        <v>0</v>
      </c>
      <c r="W56" s="71" t="s">
        <v>61</v>
      </c>
    </row>
    <row r="57" spans="2:23" ht="15" customHeight="1" x14ac:dyDescent="0.3">
      <c r="B57" s="72" t="s">
        <v>68</v>
      </c>
      <c r="C57" s="66">
        <v>832</v>
      </c>
      <c r="D57" s="66">
        <v>833</v>
      </c>
      <c r="E57" s="67">
        <v>45555</v>
      </c>
      <c r="F57" s="80">
        <f>IFERROR(_xlfn.XLOOKUP(C57,'Data Share Units'!S:S,'Data Share Units'!G:G),0)</f>
        <v>0</v>
      </c>
      <c r="G57" s="80">
        <f>IFERROR(_xlfn.XLOOKUP(D57,'Data Share Units'!T:T,'Data Share Units'!H:H),0)</f>
        <v>0</v>
      </c>
      <c r="H57" s="79">
        <f t="shared" si="42"/>
        <v>0</v>
      </c>
      <c r="I57" s="79">
        <f t="shared" si="43"/>
        <v>0</v>
      </c>
      <c r="J57" s="70">
        <v>8.06</v>
      </c>
      <c r="K57" s="70">
        <f>_xlfn.XLOOKUP(C57,'Data Share Units'!S:S,'Data Share Units'!I:I,0)</f>
        <v>0</v>
      </c>
      <c r="L57" s="70">
        <f>_xlfn.XLOOKUP(D57,'Data Share Units'!T:T,'Data Share Units'!J:J,0)</f>
        <v>0</v>
      </c>
      <c r="M57" s="70">
        <f t="shared" si="46"/>
        <v>0</v>
      </c>
      <c r="N57" s="70">
        <f>IFERROR(G57*L57,"")</f>
        <v>0</v>
      </c>
      <c r="O57" s="70">
        <f t="shared" si="50"/>
        <v>0</v>
      </c>
      <c r="P57" s="70">
        <f t="shared" si="51"/>
        <v>0</v>
      </c>
      <c r="Q57" s="88"/>
      <c r="R57" s="70">
        <f t="shared" si="48"/>
        <v>0</v>
      </c>
      <c r="S57" s="70">
        <f t="shared" si="45"/>
        <v>0</v>
      </c>
      <c r="T57" s="68">
        <f t="shared" si="39"/>
        <v>0</v>
      </c>
      <c r="U57" s="68">
        <f t="shared" si="40"/>
        <v>0</v>
      </c>
      <c r="V57" s="68">
        <f t="shared" si="41"/>
        <v>0</v>
      </c>
    </row>
    <row r="58" spans="2:23" ht="15" customHeight="1" x14ac:dyDescent="0.3">
      <c r="B58" s="72" t="s">
        <v>68</v>
      </c>
      <c r="C58" s="66">
        <v>834</v>
      </c>
      <c r="D58" s="66">
        <v>835</v>
      </c>
      <c r="E58" s="67">
        <v>45555</v>
      </c>
      <c r="F58" s="80">
        <f>IFERROR(_xlfn.XLOOKUP(C58,'Data Share Units'!S:S,'Data Share Units'!G:G),0)</f>
        <v>0</v>
      </c>
      <c r="G58" s="80">
        <f>IFERROR(_xlfn.XLOOKUP(D58,'Data Share Units'!T:T,'Data Share Units'!H:H),0)</f>
        <v>0</v>
      </c>
      <c r="H58" s="79">
        <f t="shared" si="42"/>
        <v>0</v>
      </c>
      <c r="I58" s="79">
        <f t="shared" si="43"/>
        <v>0</v>
      </c>
      <c r="J58" s="70">
        <v>8.06</v>
      </c>
      <c r="K58" s="70">
        <f>_xlfn.XLOOKUP(C58,'Data Share Units'!S:S,'Data Share Units'!I:I,0)</f>
        <v>0</v>
      </c>
      <c r="L58" s="70">
        <f>_xlfn.XLOOKUP(D58,'Data Share Units'!T:T,'Data Share Units'!J:J,0)</f>
        <v>0</v>
      </c>
      <c r="M58" s="70">
        <f t="shared" si="46"/>
        <v>0</v>
      </c>
      <c r="N58" s="70">
        <f>IFERROR(G58*L58,"")</f>
        <v>0</v>
      </c>
      <c r="O58" s="70">
        <f t="shared" si="50"/>
        <v>0</v>
      </c>
      <c r="P58" s="70">
        <f t="shared" si="51"/>
        <v>0</v>
      </c>
      <c r="Q58" s="88"/>
      <c r="R58" s="70">
        <f t="shared" si="48"/>
        <v>0</v>
      </c>
      <c r="S58" s="70">
        <f t="shared" si="45"/>
        <v>0</v>
      </c>
      <c r="T58" s="68">
        <f t="shared" si="39"/>
        <v>0</v>
      </c>
      <c r="U58" s="68">
        <f t="shared" si="40"/>
        <v>0</v>
      </c>
      <c r="V58" s="68">
        <f t="shared" si="41"/>
        <v>0</v>
      </c>
    </row>
    <row r="59" spans="2:23" ht="15" customHeight="1" x14ac:dyDescent="0.3">
      <c r="B59" s="72" t="s">
        <v>71</v>
      </c>
      <c r="C59" s="66">
        <v>843</v>
      </c>
      <c r="D59" s="66">
        <v>844</v>
      </c>
      <c r="E59" s="67">
        <v>45568</v>
      </c>
      <c r="F59" s="80">
        <f>IFERROR(_xlfn.XLOOKUP(C59,'Data Share Units'!S:S,'Data Share Units'!G:G),0)</f>
        <v>0</v>
      </c>
      <c r="G59" s="80">
        <f>IFERROR(_xlfn.XLOOKUP(D59,'Data Share Units'!T:T,'Data Share Units'!H:H),0)</f>
        <v>0</v>
      </c>
      <c r="H59" s="79">
        <f t="shared" si="42"/>
        <v>0</v>
      </c>
      <c r="I59" s="79">
        <f t="shared" si="43"/>
        <v>0</v>
      </c>
      <c r="J59" s="70">
        <v>8.06</v>
      </c>
      <c r="K59" s="69"/>
      <c r="L59" s="69"/>
      <c r="M59" s="69"/>
      <c r="N59" s="69"/>
      <c r="O59" s="70">
        <f t="shared" si="50"/>
        <v>0</v>
      </c>
      <c r="P59" s="70">
        <f t="shared" si="51"/>
        <v>0</v>
      </c>
      <c r="Q59" s="88"/>
      <c r="R59" s="70">
        <f t="shared" si="48"/>
        <v>0</v>
      </c>
      <c r="S59" s="70">
        <f t="shared" si="45"/>
        <v>0</v>
      </c>
      <c r="T59" s="68">
        <f t="shared" si="39"/>
        <v>0</v>
      </c>
      <c r="U59" s="68">
        <f t="shared" si="40"/>
        <v>0</v>
      </c>
      <c r="V59" s="68">
        <f t="shared" si="41"/>
        <v>0</v>
      </c>
      <c r="W59" s="71" t="s">
        <v>74</v>
      </c>
    </row>
    <row r="60" spans="2:23" ht="15" customHeight="1" x14ac:dyDescent="0.3">
      <c r="B60" s="72" t="s">
        <v>71</v>
      </c>
      <c r="C60" s="66">
        <v>846</v>
      </c>
      <c r="D60" s="66">
        <v>847</v>
      </c>
      <c r="E60" s="67">
        <v>45590</v>
      </c>
      <c r="F60" s="80">
        <f>IFERROR(_xlfn.XLOOKUP(C60,'Data Share Units'!S:S,'Data Share Units'!G:G),0)</f>
        <v>0</v>
      </c>
      <c r="G60" s="80">
        <f>IFERROR(_xlfn.XLOOKUP(D60,'Data Share Units'!T:T,'Data Share Units'!H:H),0)</f>
        <v>0</v>
      </c>
      <c r="H60" s="79">
        <f t="shared" si="42"/>
        <v>0</v>
      </c>
      <c r="I60" s="79">
        <f t="shared" si="43"/>
        <v>0</v>
      </c>
      <c r="J60" s="70">
        <v>8.06</v>
      </c>
      <c r="K60" s="69"/>
      <c r="L60" s="69"/>
      <c r="M60" s="69"/>
      <c r="N60" s="69"/>
      <c r="O60" s="70">
        <f>IF(F60&gt;0,"Enter Value",F60*T59)</f>
        <v>0</v>
      </c>
      <c r="P60" s="70">
        <f>IF(G60&gt;0,"Enter Value",G60*U59)</f>
        <v>0</v>
      </c>
      <c r="Q60" s="88"/>
      <c r="R60" s="70">
        <f t="shared" si="48"/>
        <v>0</v>
      </c>
      <c r="S60" s="70">
        <f t="shared" si="45"/>
        <v>0</v>
      </c>
      <c r="T60" s="68">
        <f t="shared" si="39"/>
        <v>0</v>
      </c>
      <c r="U60" s="68">
        <f t="shared" si="40"/>
        <v>0</v>
      </c>
      <c r="V60" s="68">
        <f t="shared" si="41"/>
        <v>0</v>
      </c>
      <c r="W60" s="71" t="s">
        <v>74</v>
      </c>
    </row>
    <row r="61" spans="2:23" ht="15" customHeight="1" x14ac:dyDescent="0.3">
      <c r="B61" s="72" t="s">
        <v>68</v>
      </c>
      <c r="C61" s="66">
        <v>849</v>
      </c>
      <c r="D61" s="66">
        <v>850</v>
      </c>
      <c r="E61" s="67">
        <v>45643</v>
      </c>
      <c r="F61" s="80">
        <f>IFERROR(_xlfn.XLOOKUP(C61,'Data Share Units'!S:S,'Data Share Units'!G:G),0)</f>
        <v>0</v>
      </c>
      <c r="G61" s="80">
        <f>IFERROR(_xlfn.XLOOKUP(D61,'Data Share Units'!T:T,'Data Share Units'!H:H),0)</f>
        <v>0</v>
      </c>
      <c r="H61" s="79">
        <f t="shared" si="42"/>
        <v>0</v>
      </c>
      <c r="I61" s="79">
        <f t="shared" si="43"/>
        <v>0</v>
      </c>
      <c r="J61" s="70">
        <v>8.06</v>
      </c>
      <c r="K61" s="70">
        <f>_xlfn.XLOOKUP(C61,'Data Share Units'!S:S,'Data Share Units'!I:I,0)</f>
        <v>0</v>
      </c>
      <c r="L61" s="70">
        <f>_xlfn.XLOOKUP(D61,'Data Share Units'!T:T,'Data Share Units'!J:J,0)</f>
        <v>0</v>
      </c>
      <c r="M61" s="70">
        <f t="shared" ref="M61:M64" si="52">IFERROR(K61*F61,"")</f>
        <v>0</v>
      </c>
      <c r="N61" s="70">
        <f>IFERROR(G61*L61,"")</f>
        <v>0</v>
      </c>
      <c r="O61" s="70">
        <f t="shared" si="50"/>
        <v>0</v>
      </c>
      <c r="P61" s="70">
        <f t="shared" si="51"/>
        <v>0</v>
      </c>
      <c r="Q61" s="88"/>
      <c r="R61" s="70">
        <f t="shared" si="48"/>
        <v>0</v>
      </c>
      <c r="S61" s="70">
        <f t="shared" si="45"/>
        <v>0</v>
      </c>
      <c r="T61" s="68">
        <f t="shared" si="39"/>
        <v>0</v>
      </c>
      <c r="U61" s="68">
        <f t="shared" si="40"/>
        <v>0</v>
      </c>
      <c r="V61" s="68">
        <f t="shared" si="41"/>
        <v>0</v>
      </c>
    </row>
    <row r="62" spans="2:23" ht="15" customHeight="1" x14ac:dyDescent="0.3">
      <c r="B62" s="72" t="s">
        <v>68</v>
      </c>
      <c r="C62" s="66">
        <v>851</v>
      </c>
      <c r="D62" s="66">
        <v>852</v>
      </c>
      <c r="E62" s="67">
        <v>45643</v>
      </c>
      <c r="F62" s="80">
        <f>IFERROR(_xlfn.XLOOKUP(C62,'Data Share Units'!S:S,'Data Share Units'!G:G),0)</f>
        <v>0</v>
      </c>
      <c r="G62" s="80">
        <f>IFERROR(_xlfn.XLOOKUP(D62,'Data Share Units'!T:T,'Data Share Units'!H:H),0)</f>
        <v>0</v>
      </c>
      <c r="H62" s="79">
        <f t="shared" si="42"/>
        <v>0</v>
      </c>
      <c r="I62" s="79">
        <f t="shared" si="43"/>
        <v>0</v>
      </c>
      <c r="J62" s="70">
        <v>8.06</v>
      </c>
      <c r="K62" s="70">
        <f>_xlfn.XLOOKUP(C62,'Data Share Units'!S:S,'Data Share Units'!I:I,0)</f>
        <v>0</v>
      </c>
      <c r="L62" s="70">
        <f>_xlfn.XLOOKUP(D62,'Data Share Units'!T:T,'Data Share Units'!J:J,0)</f>
        <v>0</v>
      </c>
      <c r="M62" s="70">
        <f t="shared" si="52"/>
        <v>0</v>
      </c>
      <c r="N62" s="70">
        <f>IFERROR(G62*L62,"")</f>
        <v>0</v>
      </c>
      <c r="O62" s="70">
        <f t="shared" si="50"/>
        <v>0</v>
      </c>
      <c r="P62" s="70">
        <f t="shared" si="51"/>
        <v>0</v>
      </c>
      <c r="Q62" s="88"/>
      <c r="R62" s="70">
        <f t="shared" si="48"/>
        <v>0</v>
      </c>
      <c r="S62" s="70">
        <f t="shared" si="45"/>
        <v>0</v>
      </c>
      <c r="T62" s="68">
        <f t="shared" si="39"/>
        <v>0</v>
      </c>
      <c r="U62" s="68">
        <f t="shared" si="40"/>
        <v>0</v>
      </c>
      <c r="V62" s="68">
        <f t="shared" si="41"/>
        <v>0</v>
      </c>
    </row>
    <row r="63" spans="2:23" ht="15" customHeight="1" x14ac:dyDescent="0.3">
      <c r="B63" s="72" t="s">
        <v>68</v>
      </c>
      <c r="C63" s="66">
        <v>860</v>
      </c>
      <c r="D63" s="66">
        <v>861</v>
      </c>
      <c r="E63" s="67">
        <v>45716</v>
      </c>
      <c r="F63" s="80">
        <f>IFERROR(_xlfn.XLOOKUP(C63,'Data Share Units'!S:S,'Data Share Units'!G:G),0)</f>
        <v>0</v>
      </c>
      <c r="G63" s="80">
        <f>IFERROR(_xlfn.XLOOKUP(D63,'Data Share Units'!T:T,'Data Share Units'!H:H),0)</f>
        <v>0</v>
      </c>
      <c r="H63" s="79">
        <f t="shared" si="42"/>
        <v>0</v>
      </c>
      <c r="I63" s="79">
        <f t="shared" si="43"/>
        <v>0</v>
      </c>
      <c r="J63" s="70">
        <v>8.06</v>
      </c>
      <c r="K63" s="70">
        <f>_xlfn.XLOOKUP(C63,'Data Share Units'!S:S,'Data Share Units'!I:I,0)</f>
        <v>0</v>
      </c>
      <c r="L63" s="70">
        <f>_xlfn.XLOOKUP(D63,'Data Share Units'!T:T,'Data Share Units'!J:J,0)</f>
        <v>0</v>
      </c>
      <c r="M63" s="70">
        <f t="shared" si="52"/>
        <v>0</v>
      </c>
      <c r="N63" s="70">
        <f>IFERROR(G63*L63,"")</f>
        <v>0</v>
      </c>
      <c r="O63" s="70">
        <f t="shared" si="50"/>
        <v>0</v>
      </c>
      <c r="P63" s="70">
        <f t="shared" si="51"/>
        <v>0</v>
      </c>
      <c r="Q63" s="88"/>
      <c r="R63" s="70">
        <f t="shared" si="48"/>
        <v>0</v>
      </c>
      <c r="S63" s="70">
        <f t="shared" si="45"/>
        <v>0</v>
      </c>
      <c r="T63" s="68">
        <f t="shared" si="39"/>
        <v>0</v>
      </c>
      <c r="U63" s="68">
        <f t="shared" si="40"/>
        <v>0</v>
      </c>
      <c r="V63" s="68">
        <f t="shared" si="41"/>
        <v>0</v>
      </c>
    </row>
    <row r="64" spans="2:23" ht="15" customHeight="1" x14ac:dyDescent="0.3">
      <c r="B64" s="72" t="s">
        <v>68</v>
      </c>
      <c r="C64" s="66">
        <v>862</v>
      </c>
      <c r="D64" s="66">
        <v>863</v>
      </c>
      <c r="E64" s="67">
        <v>45716</v>
      </c>
      <c r="F64" s="80">
        <f>IFERROR(_xlfn.XLOOKUP(C64,'Data Share Units'!S:S,'Data Share Units'!G:G),0)</f>
        <v>0</v>
      </c>
      <c r="G64" s="80">
        <f>IFERROR(_xlfn.XLOOKUP(D64,'Data Share Units'!T:T,'Data Share Units'!H:H),0)</f>
        <v>0</v>
      </c>
      <c r="H64" s="79">
        <f t="shared" si="42"/>
        <v>0</v>
      </c>
      <c r="I64" s="79">
        <f t="shared" si="43"/>
        <v>0</v>
      </c>
      <c r="J64" s="70">
        <v>8.06</v>
      </c>
      <c r="K64" s="70">
        <f>_xlfn.XLOOKUP(C64,'Data Share Units'!S:S,'Data Share Units'!I:I,0)</f>
        <v>0</v>
      </c>
      <c r="L64" s="70">
        <f>_xlfn.XLOOKUP(D64,'Data Share Units'!T:T,'Data Share Units'!J:J,0)</f>
        <v>0</v>
      </c>
      <c r="M64" s="70">
        <f t="shared" si="52"/>
        <v>0</v>
      </c>
      <c r="N64" s="70">
        <f>IFERROR(G64*L64,"")</f>
        <v>0</v>
      </c>
      <c r="O64" s="70">
        <f t="shared" si="50"/>
        <v>0</v>
      </c>
      <c r="P64" s="70">
        <f t="shared" si="51"/>
        <v>0</v>
      </c>
      <c r="Q64" s="88"/>
      <c r="R64" s="70">
        <f t="shared" si="48"/>
        <v>0</v>
      </c>
      <c r="S64" s="70">
        <f t="shared" si="45"/>
        <v>0</v>
      </c>
      <c r="T64" s="68">
        <f t="shared" si="39"/>
        <v>0</v>
      </c>
      <c r="U64" s="68">
        <f t="shared" si="40"/>
        <v>0</v>
      </c>
      <c r="V64" s="68">
        <f t="shared" si="41"/>
        <v>0</v>
      </c>
    </row>
    <row r="65" spans="2:23" ht="15" customHeight="1" thickBot="1" x14ac:dyDescent="0.35">
      <c r="B65" s="72" t="s">
        <v>71</v>
      </c>
      <c r="C65" s="66">
        <v>868</v>
      </c>
      <c r="D65" s="66">
        <v>869</v>
      </c>
      <c r="E65" s="67">
        <v>45741</v>
      </c>
      <c r="F65" s="80">
        <f>IFERROR(_xlfn.XLOOKUP(C65,'Data Share Units'!S:S,'Data Share Units'!G:G),0)</f>
        <v>0</v>
      </c>
      <c r="G65" s="80">
        <f>IFERROR(_xlfn.XLOOKUP(D65,'Data Share Units'!T:T,'Data Share Units'!H:H),0)</f>
        <v>0</v>
      </c>
      <c r="H65" s="79">
        <f t="shared" si="42"/>
        <v>0</v>
      </c>
      <c r="I65" s="79">
        <f t="shared" si="43"/>
        <v>0</v>
      </c>
      <c r="J65" s="70">
        <v>8.06</v>
      </c>
      <c r="K65" s="69"/>
      <c r="L65" s="69"/>
      <c r="M65" s="69"/>
      <c r="N65" s="69"/>
      <c r="O65" s="70">
        <f t="shared" si="50"/>
        <v>0</v>
      </c>
      <c r="P65" s="70">
        <f t="shared" si="51"/>
        <v>0</v>
      </c>
      <c r="Q65" s="88"/>
      <c r="R65" s="70">
        <f t="shared" si="48"/>
        <v>0</v>
      </c>
      <c r="S65" s="70">
        <f t="shared" si="45"/>
        <v>0</v>
      </c>
      <c r="T65" s="68">
        <f t="shared" si="39"/>
        <v>0</v>
      </c>
      <c r="U65" s="68">
        <f t="shared" si="40"/>
        <v>0</v>
      </c>
      <c r="V65" s="68">
        <f t="shared" si="41"/>
        <v>0</v>
      </c>
      <c r="W65" s="71" t="s">
        <v>74</v>
      </c>
    </row>
    <row r="66" spans="2:23" ht="15" customHeight="1" thickBot="1" x14ac:dyDescent="0.35">
      <c r="B66" s="64" t="s">
        <v>75</v>
      </c>
      <c r="C66" s="77"/>
      <c r="D66" s="77"/>
      <c r="E66" s="77"/>
      <c r="F66" s="77"/>
      <c r="G66" s="77"/>
      <c r="H66" s="77"/>
      <c r="I66" s="77"/>
      <c r="J66" s="77"/>
      <c r="K66" s="77"/>
      <c r="L66" s="77"/>
      <c r="M66" s="77"/>
      <c r="N66" s="77"/>
      <c r="O66" s="107"/>
      <c r="P66" s="107"/>
      <c r="Q66" s="89"/>
      <c r="R66" s="77"/>
      <c r="S66" s="78"/>
      <c r="T66" s="64"/>
      <c r="U66" s="77"/>
      <c r="V66" s="78"/>
    </row>
    <row r="67" spans="2:23" ht="15" customHeight="1" x14ac:dyDescent="0.3">
      <c r="B67" s="72" t="s">
        <v>68</v>
      </c>
      <c r="C67" s="66">
        <v>871</v>
      </c>
      <c r="D67" s="66">
        <v>872</v>
      </c>
      <c r="E67" s="67">
        <v>45824</v>
      </c>
      <c r="F67" s="80">
        <f>IFERROR(_xlfn.XLOOKUP(C67,'Data Share Units'!S:S,'Data Share Units'!G:G),0)</f>
        <v>0</v>
      </c>
      <c r="G67" s="80">
        <f>IFERROR(_xlfn.XLOOKUP(D67,'Data Share Units'!T:T,'Data Share Units'!H:H),0)</f>
        <v>0</v>
      </c>
      <c r="H67" s="79">
        <f>IFERROR(H65+F67,"")</f>
        <v>0</v>
      </c>
      <c r="I67" s="79">
        <f>IFERROR(I65+G67,"")</f>
        <v>0</v>
      </c>
      <c r="J67" s="70">
        <v>8.06</v>
      </c>
      <c r="K67" s="70">
        <f>_xlfn.XLOOKUP(C67,'Data Share Units'!S:S,'Data Share Units'!I:I,0)</f>
        <v>0</v>
      </c>
      <c r="L67" s="70">
        <f>_xlfn.XLOOKUP(D67,'Data Share Units'!T:T,'Data Share Units'!J:J,0)</f>
        <v>0</v>
      </c>
      <c r="M67" s="70">
        <f t="shared" ref="M67:M68" si="53">IFERROR(K67*F67,"")</f>
        <v>0</v>
      </c>
      <c r="N67" s="70">
        <f>IFERROR(G67*L67,"")</f>
        <v>0</v>
      </c>
      <c r="O67" s="70">
        <f>IF(F67&gt;0,"Enter Value",F67*T65)</f>
        <v>0</v>
      </c>
      <c r="P67" s="70">
        <f>IF(G67&gt;0,"Enter Value",G67*U65)</f>
        <v>0</v>
      </c>
      <c r="Q67" s="88"/>
      <c r="R67" s="70">
        <f>IF(F67&gt;0,R65+O67,IF(F67&lt;0,R65+F67*T65,IF(O67=0,R65)))</f>
        <v>0</v>
      </c>
      <c r="S67" s="70">
        <f>IF(G67&gt;0,S65+P67+Q67,IF(G67&lt;0,S65+G67*U65,IF(P67=0,S65)))</f>
        <v>0</v>
      </c>
      <c r="T67" s="68">
        <f t="shared" ref="T67:T76" si="54">IFERROR(R67/H67,0)</f>
        <v>0</v>
      </c>
      <c r="U67" s="68">
        <f t="shared" ref="U67:U75" si="55">IFERROR(S67/I67,0)</f>
        <v>0</v>
      </c>
      <c r="V67" s="68">
        <f t="shared" ref="V67:V76" si="56">IFERROR((R67+S67)/H67,0)</f>
        <v>0</v>
      </c>
    </row>
    <row r="68" spans="2:23" ht="15" customHeight="1" x14ac:dyDescent="0.3">
      <c r="B68" s="72" t="s">
        <v>68</v>
      </c>
      <c r="C68" s="66">
        <v>873</v>
      </c>
      <c r="D68" s="66">
        <v>874</v>
      </c>
      <c r="E68" s="67">
        <v>45824</v>
      </c>
      <c r="F68" s="80">
        <f>IFERROR(_xlfn.XLOOKUP(C68,'Data Share Units'!S:S,'Data Share Units'!G:G),0)</f>
        <v>0</v>
      </c>
      <c r="G68" s="80">
        <f>IFERROR(_xlfn.XLOOKUP(D68,'Data Share Units'!T:T,'Data Share Units'!H:H),0)</f>
        <v>0</v>
      </c>
      <c r="H68" s="79">
        <f t="shared" ref="H68:H79" si="57">IFERROR(H67+F68,"")</f>
        <v>0</v>
      </c>
      <c r="I68" s="79">
        <f t="shared" ref="I68:I75" si="58">IFERROR(I67+G68,"")</f>
        <v>0</v>
      </c>
      <c r="J68" s="70">
        <v>8.06</v>
      </c>
      <c r="K68" s="70">
        <f>_xlfn.XLOOKUP(C68,'Data Share Units'!S:S,'Data Share Units'!I:I,0)</f>
        <v>0</v>
      </c>
      <c r="L68" s="70">
        <f>_xlfn.XLOOKUP(D68,'Data Share Units'!T:T,'Data Share Units'!J:J,0)</f>
        <v>0</v>
      </c>
      <c r="M68" s="70">
        <f t="shared" si="53"/>
        <v>0</v>
      </c>
      <c r="N68" s="70">
        <f>IFERROR(G68*L68,"")</f>
        <v>0</v>
      </c>
      <c r="O68" s="70">
        <f t="shared" ref="O68:O76" si="59">IF(F68&gt;0,"Enter Value",F68*T67)</f>
        <v>0</v>
      </c>
      <c r="P68" s="70">
        <f t="shared" ref="P68:P76" si="60">IF(G68&gt;0,"Enter Value",G68*U67)</f>
        <v>0</v>
      </c>
      <c r="Q68" s="88"/>
      <c r="R68" s="70">
        <f t="shared" ref="R68" si="61">IF(F68&gt;0,R67+O68,IF(F68&lt;0,R67+F68*T67,IF(O68=0,R67)))</f>
        <v>0</v>
      </c>
      <c r="S68" s="70">
        <f t="shared" ref="S68:S77" si="62">IF(G68&gt;0,S67+P68+Q68,IF(G68&lt;0,S67+G68*U67,IF(P68=0,S67)))</f>
        <v>0</v>
      </c>
      <c r="T68" s="68">
        <f t="shared" si="54"/>
        <v>0</v>
      </c>
      <c r="U68" s="68">
        <f t="shared" si="55"/>
        <v>0</v>
      </c>
      <c r="V68" s="68">
        <f t="shared" si="56"/>
        <v>0</v>
      </c>
    </row>
    <row r="69" spans="2:23" ht="15" customHeight="1" x14ac:dyDescent="0.3">
      <c r="B69" s="72" t="s">
        <v>71</v>
      </c>
      <c r="C69" s="66">
        <v>882</v>
      </c>
      <c r="D69" s="66">
        <v>883</v>
      </c>
      <c r="E69" s="67">
        <v>45869</v>
      </c>
      <c r="F69" s="80">
        <f>IFERROR(_xlfn.XLOOKUP(C69,'Data Share Units'!S:S,'Data Share Units'!G:G),0)</f>
        <v>0</v>
      </c>
      <c r="G69" s="80">
        <f>IFERROR(_xlfn.XLOOKUP(D69,'Data Share Units'!T:T,'Data Share Units'!H:H),0)</f>
        <v>0</v>
      </c>
      <c r="H69" s="79">
        <f t="shared" si="57"/>
        <v>0</v>
      </c>
      <c r="I69" s="79">
        <f t="shared" si="58"/>
        <v>0</v>
      </c>
      <c r="J69" s="70">
        <v>8.06</v>
      </c>
      <c r="K69" s="69"/>
      <c r="L69" s="69"/>
      <c r="M69" s="69"/>
      <c r="N69" s="69"/>
      <c r="O69" s="70">
        <f t="shared" si="59"/>
        <v>0</v>
      </c>
      <c r="P69" s="70">
        <f t="shared" si="60"/>
        <v>0</v>
      </c>
      <c r="Q69" s="88"/>
      <c r="R69" s="70">
        <f t="shared" ref="R69:R75" si="63">IF(F69&gt;0,R68+O69,IF(F69&lt;0,R68+F69*T68,IF(O69=0,R68)))</f>
        <v>0</v>
      </c>
      <c r="S69" s="70">
        <f t="shared" si="62"/>
        <v>0</v>
      </c>
      <c r="T69" s="68">
        <f t="shared" si="54"/>
        <v>0</v>
      </c>
      <c r="U69" s="68">
        <f t="shared" si="55"/>
        <v>0</v>
      </c>
      <c r="V69" s="68">
        <f t="shared" si="56"/>
        <v>0</v>
      </c>
      <c r="W69" s="71" t="s">
        <v>74</v>
      </c>
    </row>
    <row r="70" spans="2:23" ht="15" customHeight="1" x14ac:dyDescent="0.3">
      <c r="B70" s="72" t="s">
        <v>68</v>
      </c>
      <c r="C70" s="66">
        <v>884</v>
      </c>
      <c r="D70" s="66">
        <v>885</v>
      </c>
      <c r="E70" s="67">
        <v>45919</v>
      </c>
      <c r="F70" s="80">
        <f>IFERROR(_xlfn.XLOOKUP(C70,'Data Share Units'!S:S,'Data Share Units'!G:G),0)</f>
        <v>0</v>
      </c>
      <c r="G70" s="80">
        <f>IFERROR(_xlfn.XLOOKUP(D70,'Data Share Units'!T:T,'Data Share Units'!H:H),0)</f>
        <v>0</v>
      </c>
      <c r="H70" s="79">
        <f t="shared" si="57"/>
        <v>0</v>
      </c>
      <c r="I70" s="79">
        <f t="shared" si="58"/>
        <v>0</v>
      </c>
      <c r="J70" s="70">
        <v>8.06</v>
      </c>
      <c r="K70" s="70">
        <f>_xlfn.XLOOKUP(C70,'Data Share Units'!S:S,'Data Share Units'!I:I,0)</f>
        <v>0</v>
      </c>
      <c r="L70" s="70">
        <f>_xlfn.XLOOKUP(D70,'Data Share Units'!T:T,'Data Share Units'!J:J,0)</f>
        <v>0</v>
      </c>
      <c r="M70" s="70">
        <f t="shared" ref="M70:M73" si="64">IFERROR(K70*F70,"")</f>
        <v>0</v>
      </c>
      <c r="N70" s="70">
        <f>IFERROR(G70*L70,"")</f>
        <v>0</v>
      </c>
      <c r="O70" s="70">
        <f t="shared" si="59"/>
        <v>0</v>
      </c>
      <c r="P70" s="70">
        <f t="shared" si="60"/>
        <v>0</v>
      </c>
      <c r="Q70" s="88"/>
      <c r="R70" s="70">
        <f t="shared" si="63"/>
        <v>0</v>
      </c>
      <c r="S70" s="70">
        <f t="shared" si="62"/>
        <v>0</v>
      </c>
      <c r="T70" s="68">
        <f t="shared" si="54"/>
        <v>0</v>
      </c>
      <c r="U70" s="68">
        <f t="shared" si="55"/>
        <v>0</v>
      </c>
      <c r="V70" s="68">
        <f t="shared" si="56"/>
        <v>0</v>
      </c>
    </row>
    <row r="71" spans="2:23" ht="15" customHeight="1" x14ac:dyDescent="0.3">
      <c r="B71" s="72" t="s">
        <v>68</v>
      </c>
      <c r="C71" s="66">
        <v>886</v>
      </c>
      <c r="D71" s="66">
        <v>887</v>
      </c>
      <c r="E71" s="67">
        <v>45919</v>
      </c>
      <c r="F71" s="80">
        <f>IFERROR(_xlfn.XLOOKUP(C71,'Data Share Units'!S:S,'Data Share Units'!G:G),0)</f>
        <v>0</v>
      </c>
      <c r="G71" s="80">
        <f>IFERROR(_xlfn.XLOOKUP(D71,'Data Share Units'!T:T,'Data Share Units'!H:H),0)</f>
        <v>0</v>
      </c>
      <c r="H71" s="79">
        <f t="shared" si="57"/>
        <v>0</v>
      </c>
      <c r="I71" s="79">
        <f t="shared" si="58"/>
        <v>0</v>
      </c>
      <c r="J71" s="70">
        <v>8.06</v>
      </c>
      <c r="K71" s="70">
        <f>_xlfn.XLOOKUP(C71,'Data Share Units'!S:S,'Data Share Units'!I:I,0)</f>
        <v>0</v>
      </c>
      <c r="L71" s="70">
        <f>_xlfn.XLOOKUP(D71,'Data Share Units'!T:T,'Data Share Units'!J:J,0)</f>
        <v>0</v>
      </c>
      <c r="M71" s="70">
        <f t="shared" si="64"/>
        <v>0</v>
      </c>
      <c r="N71" s="70">
        <f>IFERROR(G71*L71,"")</f>
        <v>0</v>
      </c>
      <c r="O71" s="70">
        <f t="shared" si="59"/>
        <v>0</v>
      </c>
      <c r="P71" s="70">
        <f t="shared" si="60"/>
        <v>0</v>
      </c>
      <c r="Q71" s="88"/>
      <c r="R71" s="70">
        <f t="shared" si="63"/>
        <v>0</v>
      </c>
      <c r="S71" s="70">
        <f t="shared" si="62"/>
        <v>0</v>
      </c>
      <c r="T71" s="68">
        <f t="shared" si="54"/>
        <v>0</v>
      </c>
      <c r="U71" s="68">
        <f t="shared" si="55"/>
        <v>0</v>
      </c>
      <c r="V71" s="68">
        <f t="shared" si="56"/>
        <v>0</v>
      </c>
    </row>
    <row r="72" spans="2:23" ht="15" customHeight="1" x14ac:dyDescent="0.3">
      <c r="B72" s="72" t="s">
        <v>68</v>
      </c>
      <c r="C72" s="66">
        <v>895</v>
      </c>
      <c r="D72" s="66">
        <v>896</v>
      </c>
      <c r="E72" s="67">
        <v>45973</v>
      </c>
      <c r="F72" s="80">
        <f>IFERROR(_xlfn.XLOOKUP(C72,'Data Share Units'!S:S,'Data Share Units'!G:G),0)</f>
        <v>0</v>
      </c>
      <c r="G72" s="80">
        <f>IFERROR(_xlfn.XLOOKUP(D72,'Data Share Units'!T:T,'Data Share Units'!H:H),0)</f>
        <v>0</v>
      </c>
      <c r="H72" s="79">
        <f t="shared" si="57"/>
        <v>0</v>
      </c>
      <c r="I72" s="79">
        <f t="shared" si="58"/>
        <v>0</v>
      </c>
      <c r="J72" s="70">
        <v>8.06</v>
      </c>
      <c r="K72" s="70">
        <f>_xlfn.XLOOKUP(C72,'Data Share Units'!S:S,'Data Share Units'!I:I,0)</f>
        <v>0</v>
      </c>
      <c r="L72" s="70">
        <f>_xlfn.XLOOKUP(D72,'Data Share Units'!T:T,'Data Share Units'!J:J,0)</f>
        <v>0</v>
      </c>
      <c r="M72" s="70">
        <f t="shared" si="64"/>
        <v>0</v>
      </c>
      <c r="N72" s="70">
        <f>IFERROR(G72*L72,"")</f>
        <v>0</v>
      </c>
      <c r="O72" s="70">
        <f t="shared" si="59"/>
        <v>0</v>
      </c>
      <c r="P72" s="70">
        <f t="shared" si="60"/>
        <v>0</v>
      </c>
      <c r="Q72" s="88"/>
      <c r="R72" s="70">
        <f t="shared" si="63"/>
        <v>0</v>
      </c>
      <c r="S72" s="70">
        <f t="shared" si="62"/>
        <v>0</v>
      </c>
      <c r="T72" s="68">
        <f t="shared" si="54"/>
        <v>0</v>
      </c>
      <c r="U72" s="68">
        <f t="shared" si="55"/>
        <v>0</v>
      </c>
      <c r="V72" s="68">
        <f t="shared" si="56"/>
        <v>0</v>
      </c>
    </row>
    <row r="73" spans="2:23" ht="15" customHeight="1" x14ac:dyDescent="0.3">
      <c r="B73" s="72" t="s">
        <v>68</v>
      </c>
      <c r="C73" s="66">
        <v>897</v>
      </c>
      <c r="D73" s="66">
        <v>898</v>
      </c>
      <c r="E73" s="67">
        <v>45973</v>
      </c>
      <c r="F73" s="80">
        <f>IFERROR(_xlfn.XLOOKUP(C73,'Data Share Units'!S:S,'Data Share Units'!G:G),0)</f>
        <v>0</v>
      </c>
      <c r="G73" s="80">
        <f>IFERROR(_xlfn.XLOOKUP(D73,'Data Share Units'!T:T,'Data Share Units'!H:H),0)</f>
        <v>0</v>
      </c>
      <c r="H73" s="79">
        <f t="shared" si="57"/>
        <v>0</v>
      </c>
      <c r="I73" s="79">
        <f t="shared" si="58"/>
        <v>0</v>
      </c>
      <c r="J73" s="70">
        <v>8.06</v>
      </c>
      <c r="K73" s="70">
        <f>_xlfn.XLOOKUP(C73,'Data Share Units'!S:S,'Data Share Units'!I:I,0)</f>
        <v>0</v>
      </c>
      <c r="L73" s="70">
        <f>_xlfn.XLOOKUP(D73,'Data Share Units'!T:T,'Data Share Units'!J:J,0)</f>
        <v>0</v>
      </c>
      <c r="M73" s="70">
        <f t="shared" si="64"/>
        <v>0</v>
      </c>
      <c r="N73" s="70">
        <f>IFERROR(G73*L73,"")</f>
        <v>0</v>
      </c>
      <c r="O73" s="70">
        <f t="shared" si="59"/>
        <v>0</v>
      </c>
      <c r="P73" s="70">
        <f t="shared" si="60"/>
        <v>0</v>
      </c>
      <c r="Q73" s="88"/>
      <c r="R73" s="70">
        <f t="shared" si="63"/>
        <v>0</v>
      </c>
      <c r="S73" s="70">
        <f t="shared" si="62"/>
        <v>0</v>
      </c>
      <c r="T73" s="68">
        <f t="shared" si="54"/>
        <v>0</v>
      </c>
      <c r="U73" s="68">
        <f t="shared" si="55"/>
        <v>0</v>
      </c>
      <c r="V73" s="68">
        <f t="shared" si="56"/>
        <v>0</v>
      </c>
    </row>
    <row r="74" spans="2:23" ht="15" customHeight="1" x14ac:dyDescent="0.3">
      <c r="B74" s="72" t="s">
        <v>71</v>
      </c>
      <c r="C74" s="66">
        <v>903</v>
      </c>
      <c r="D74" s="66">
        <v>904</v>
      </c>
      <c r="E74" s="67">
        <v>45975</v>
      </c>
      <c r="F74" s="80">
        <f>IFERROR(_xlfn.XLOOKUP(C74,'Data Share Units'!S:S,'Data Share Units'!G:G),0)</f>
        <v>0</v>
      </c>
      <c r="G74" s="80">
        <f>IFERROR(_xlfn.XLOOKUP(D74,'Data Share Units'!T:T,'Data Share Units'!H:H),0)</f>
        <v>0</v>
      </c>
      <c r="H74" s="79">
        <f t="shared" si="57"/>
        <v>0</v>
      </c>
      <c r="I74" s="79">
        <f t="shared" si="58"/>
        <v>0</v>
      </c>
      <c r="J74" s="70">
        <v>8.06</v>
      </c>
      <c r="K74" s="69"/>
      <c r="L74" s="69"/>
      <c r="M74" s="69"/>
      <c r="N74" s="69"/>
      <c r="O74" s="70">
        <f t="shared" si="59"/>
        <v>0</v>
      </c>
      <c r="P74" s="70">
        <f t="shared" si="60"/>
        <v>0</v>
      </c>
      <c r="Q74" s="88"/>
      <c r="R74" s="70">
        <f t="shared" si="63"/>
        <v>0</v>
      </c>
      <c r="S74" s="70">
        <f t="shared" si="62"/>
        <v>0</v>
      </c>
      <c r="T74" s="68">
        <f t="shared" si="54"/>
        <v>0</v>
      </c>
      <c r="U74" s="68">
        <f t="shared" si="55"/>
        <v>0</v>
      </c>
      <c r="V74" s="68">
        <f t="shared" si="56"/>
        <v>0</v>
      </c>
      <c r="W74" s="71" t="s">
        <v>74</v>
      </c>
    </row>
    <row r="75" spans="2:23" ht="15" customHeight="1" x14ac:dyDescent="0.3">
      <c r="B75" s="72" t="s">
        <v>71</v>
      </c>
      <c r="C75" s="66">
        <v>905</v>
      </c>
      <c r="D75" s="66">
        <v>906</v>
      </c>
      <c r="E75" s="67">
        <v>46013</v>
      </c>
      <c r="F75" s="80">
        <f>IFERROR(_xlfn.XLOOKUP(C75,'Data Share Units'!S:S,'Data Share Units'!G:G),0)</f>
        <v>0</v>
      </c>
      <c r="G75" s="80">
        <f>IFERROR(_xlfn.XLOOKUP(D75,'Data Share Units'!T:T,'Data Share Units'!H:H),0)</f>
        <v>0</v>
      </c>
      <c r="H75" s="79">
        <f t="shared" si="57"/>
        <v>0</v>
      </c>
      <c r="I75" s="79">
        <f t="shared" si="58"/>
        <v>0</v>
      </c>
      <c r="J75" s="70">
        <v>8.06</v>
      </c>
      <c r="K75" s="69"/>
      <c r="L75" s="69"/>
      <c r="M75" s="69"/>
      <c r="N75" s="69"/>
      <c r="O75" s="70">
        <f t="shared" si="59"/>
        <v>0</v>
      </c>
      <c r="P75" s="70">
        <f t="shared" si="60"/>
        <v>0</v>
      </c>
      <c r="Q75" s="88"/>
      <c r="R75" s="70">
        <f t="shared" si="63"/>
        <v>0</v>
      </c>
      <c r="S75" s="70">
        <f t="shared" si="62"/>
        <v>0</v>
      </c>
      <c r="T75" s="68">
        <f t="shared" si="54"/>
        <v>0</v>
      </c>
      <c r="U75" s="68">
        <f t="shared" si="55"/>
        <v>0</v>
      </c>
      <c r="V75" s="68">
        <f t="shared" si="56"/>
        <v>0</v>
      </c>
      <c r="W75" s="71" t="s">
        <v>74</v>
      </c>
    </row>
    <row r="76" spans="2:23" ht="15" customHeight="1" x14ac:dyDescent="0.3">
      <c r="B76" s="72" t="s">
        <v>71</v>
      </c>
      <c r="C76" s="66">
        <v>912</v>
      </c>
      <c r="D76" s="66">
        <v>913</v>
      </c>
      <c r="E76" s="67">
        <v>46044</v>
      </c>
      <c r="F76" s="80">
        <f>IFERROR(_xlfn.XLOOKUP(C76,'Data Share Units'!S:S,'Data Share Units'!G:G),0)</f>
        <v>0</v>
      </c>
      <c r="G76" s="80">
        <f>IFERROR(_xlfn.XLOOKUP(D76,'Data Share Units'!T:T,'Data Share Units'!H:H),0)</f>
        <v>0</v>
      </c>
      <c r="H76" s="79">
        <f t="shared" si="57"/>
        <v>0</v>
      </c>
      <c r="I76" s="79">
        <f>IFERROR(I75+G76,"")</f>
        <v>0</v>
      </c>
      <c r="J76" s="70">
        <v>8.06</v>
      </c>
      <c r="K76" s="69"/>
      <c r="L76" s="69"/>
      <c r="M76" s="69"/>
      <c r="N76" s="69"/>
      <c r="O76" s="70">
        <f t="shared" si="59"/>
        <v>0</v>
      </c>
      <c r="P76" s="70">
        <f t="shared" si="60"/>
        <v>0</v>
      </c>
      <c r="Q76" s="88"/>
      <c r="R76" s="70">
        <f>IF(F76&gt;0,R75+O76,IF(F76&lt;0,R75+F76*T75,IF(O76=0,R75)))</f>
        <v>0</v>
      </c>
      <c r="S76" s="70">
        <f t="shared" si="62"/>
        <v>0</v>
      </c>
      <c r="T76" s="68">
        <f t="shared" si="54"/>
        <v>0</v>
      </c>
      <c r="U76" s="68">
        <f>IFERROR(S76/I76,0)</f>
        <v>0</v>
      </c>
      <c r="V76" s="68">
        <f t="shared" si="56"/>
        <v>0</v>
      </c>
      <c r="W76" s="71" t="s">
        <v>74</v>
      </c>
    </row>
    <row r="77" spans="2:23" ht="15" customHeight="1" x14ac:dyDescent="0.3">
      <c r="B77" s="72" t="s">
        <v>138</v>
      </c>
      <c r="C77" s="66">
        <v>914</v>
      </c>
      <c r="D77" s="66">
        <v>915</v>
      </c>
      <c r="E77" s="67">
        <v>46101</v>
      </c>
      <c r="F77" s="80">
        <f>IFERROR(_xlfn.XLOOKUP(C77,'Data Share Units'!S:S,'Data Share Units'!G:G),0)</f>
        <v>0</v>
      </c>
      <c r="G77" s="80">
        <f>IFERROR(_xlfn.XLOOKUP(D77,'Data Share Units'!T:T,'Data Share Units'!H:H),0)</f>
        <v>0</v>
      </c>
      <c r="H77" s="79">
        <f t="shared" si="57"/>
        <v>0</v>
      </c>
      <c r="I77" s="79">
        <f>IFERROR(I76+G77,"")</f>
        <v>0</v>
      </c>
      <c r="J77" s="70"/>
      <c r="K77" s="70">
        <f>_xlfn.XLOOKUP(C77,'Data Share Units'!S:S,'Data Share Units'!I:I,0)</f>
        <v>0</v>
      </c>
      <c r="L77" s="70">
        <f>_xlfn.XLOOKUP(D77,'Data Share Units'!T:T,'Data Share Units'!J:J,0)</f>
        <v>0</v>
      </c>
      <c r="M77" s="70">
        <f t="shared" ref="M77:M79" si="65">IFERROR(K77*F77,"")</f>
        <v>0</v>
      </c>
      <c r="N77" s="70">
        <f>IFERROR(G77*L77,"")</f>
        <v>0</v>
      </c>
      <c r="O77" s="70">
        <f t="shared" ref="O77:P79" si="66">IF(F77&gt;0,"Enter Value",F77*T76)</f>
        <v>0</v>
      </c>
      <c r="P77" s="70">
        <f t="shared" si="66"/>
        <v>0</v>
      </c>
      <c r="Q77" s="88"/>
      <c r="R77" s="70">
        <f t="shared" ref="R77" si="67">IF(F77&gt;0,R76+O77,IF(F77&lt;0,R76+F77*T76,IF(O77=0,R76)))</f>
        <v>0</v>
      </c>
      <c r="S77" s="70">
        <f t="shared" si="62"/>
        <v>0</v>
      </c>
      <c r="T77" s="68">
        <f>IFERROR(R77/H77,0)</f>
        <v>0</v>
      </c>
      <c r="U77" s="68">
        <f>IFERROR(S77/I77,0)</f>
        <v>0</v>
      </c>
      <c r="V77" s="68">
        <f>IFERROR((R77+S77)/H77,0)</f>
        <v>0</v>
      </c>
      <c r="W77" s="71"/>
    </row>
    <row r="78" spans="2:23" ht="15" customHeight="1" x14ac:dyDescent="0.3">
      <c r="B78" s="72" t="s">
        <v>137</v>
      </c>
      <c r="C78" s="66">
        <v>917</v>
      </c>
      <c r="D78" s="66">
        <v>918</v>
      </c>
      <c r="E78" s="67">
        <v>46101</v>
      </c>
      <c r="F78" s="80">
        <f>IFERROR(_xlfn.XLOOKUP(C78,'Data Share Units'!S:S,'Data Share Units'!G:G),0)</f>
        <v>0</v>
      </c>
      <c r="G78" s="80">
        <f>IFERROR(_xlfn.XLOOKUP(D78,'Data Share Units'!T:T,'Data Share Units'!H:H),0)</f>
        <v>0</v>
      </c>
      <c r="H78" s="79">
        <f t="shared" si="57"/>
        <v>0</v>
      </c>
      <c r="I78" s="79">
        <f>IFERROR(I77+G78,"")</f>
        <v>0</v>
      </c>
      <c r="J78" s="70"/>
      <c r="K78" s="70">
        <f>_xlfn.XLOOKUP(C78,'Data Share Units'!S:S,'Data Share Units'!I:I,0)</f>
        <v>0</v>
      </c>
      <c r="L78" s="70">
        <f>_xlfn.XLOOKUP(D78,'Data Share Units'!T:T,'Data Share Units'!J:J,0)</f>
        <v>0</v>
      </c>
      <c r="M78" s="70">
        <f t="shared" si="65"/>
        <v>0</v>
      </c>
      <c r="N78" s="70">
        <f>IFERROR(G78*L78,"")</f>
        <v>0</v>
      </c>
      <c r="O78" s="70">
        <f>IF(F78&gt;0,"Enter Value",F78*T77)</f>
        <v>0</v>
      </c>
      <c r="P78" s="70">
        <f t="shared" si="66"/>
        <v>0</v>
      </c>
      <c r="Q78" s="88"/>
      <c r="R78" s="70">
        <f t="shared" ref="R78:S79" si="68">IFERROR(R77+O78,0)</f>
        <v>0</v>
      </c>
      <c r="S78" s="70">
        <f t="shared" si="68"/>
        <v>0</v>
      </c>
      <c r="T78" s="68">
        <f>IFERROR(R78/H78,0)</f>
        <v>0</v>
      </c>
      <c r="U78" s="68">
        <f>IFERROR(S78/I78,0)</f>
        <v>0</v>
      </c>
      <c r="V78" s="68">
        <f>IFERROR((R78+S78)/H78,0)</f>
        <v>0</v>
      </c>
      <c r="W78" s="71"/>
    </row>
    <row r="79" spans="2:23" ht="15" customHeight="1" x14ac:dyDescent="0.3">
      <c r="B79" s="72" t="s">
        <v>139</v>
      </c>
      <c r="C79" s="66">
        <v>920</v>
      </c>
      <c r="D79" s="66">
        <v>921</v>
      </c>
      <c r="E79" s="67">
        <v>46101</v>
      </c>
      <c r="F79" s="80">
        <f>IFERROR(_xlfn.XLOOKUP(C79,'Data Share Units'!S:S,'Data Share Units'!G:G),0)</f>
        <v>0</v>
      </c>
      <c r="G79" s="80">
        <f>IFERROR(_xlfn.XLOOKUP(D79,'Data Share Units'!T:T,'Data Share Units'!H:H),0)</f>
        <v>0</v>
      </c>
      <c r="H79" s="79">
        <f t="shared" si="57"/>
        <v>0</v>
      </c>
      <c r="I79" s="79">
        <f>IFERROR(I78+G79,"")</f>
        <v>0</v>
      </c>
      <c r="J79" s="70"/>
      <c r="K79" s="70">
        <f>_xlfn.XLOOKUP(C79,'Data Share Units'!S:S,'Data Share Units'!I:I,0)</f>
        <v>0</v>
      </c>
      <c r="L79" s="70">
        <f>_xlfn.XLOOKUP(D79,'Data Share Units'!T:T,'Data Share Units'!J:J,0)</f>
        <v>0</v>
      </c>
      <c r="M79" s="70">
        <f t="shared" si="65"/>
        <v>0</v>
      </c>
      <c r="N79" s="70">
        <f>IFERROR(G79*L79,"")</f>
        <v>0</v>
      </c>
      <c r="O79" s="70">
        <f t="shared" si="66"/>
        <v>0</v>
      </c>
      <c r="P79" s="70">
        <f t="shared" si="66"/>
        <v>0</v>
      </c>
      <c r="Q79" s="88"/>
      <c r="R79" s="70">
        <f t="shared" si="68"/>
        <v>0</v>
      </c>
      <c r="S79" s="70">
        <f t="shared" si="68"/>
        <v>0</v>
      </c>
      <c r="T79" s="68">
        <f>IFERROR(R79/H79,0)</f>
        <v>0</v>
      </c>
      <c r="U79" s="68">
        <f>IFERROR(S79/I79,0)</f>
        <v>0</v>
      </c>
      <c r="V79" s="68">
        <f>IFERROR((R79+S79)/H79,0)</f>
        <v>0</v>
      </c>
      <c r="W79" s="71"/>
    </row>
    <row r="82" spans="2:10" ht="26.4" x14ac:dyDescent="0.3">
      <c r="G82" s="126" t="s">
        <v>76</v>
      </c>
      <c r="H82" s="127" t="s">
        <v>77</v>
      </c>
      <c r="I82" s="128" t="s">
        <v>78</v>
      </c>
      <c r="J82" s="129"/>
    </row>
    <row r="83" spans="2:10" x14ac:dyDescent="0.3">
      <c r="G83" s="130" t="s">
        <v>5</v>
      </c>
      <c r="H83" s="131">
        <f>H76</f>
        <v>0</v>
      </c>
      <c r="I83" s="132">
        <f>ROUND(R76,2)</f>
        <v>0</v>
      </c>
      <c r="J83" s="133"/>
    </row>
    <row r="84" spans="2:10" x14ac:dyDescent="0.3">
      <c r="G84" s="130" t="s">
        <v>6</v>
      </c>
      <c r="H84" s="131">
        <f>I76</f>
        <v>0</v>
      </c>
      <c r="I84" s="132">
        <f>ROUND(S76,2)</f>
        <v>0</v>
      </c>
      <c r="J84" s="134" t="s">
        <v>79</v>
      </c>
    </row>
    <row r="85" spans="2:10" x14ac:dyDescent="0.3">
      <c r="G85" s="130"/>
      <c r="H85" s="131"/>
      <c r="I85" s="135">
        <f>SUM(I83:I84)</f>
        <v>0</v>
      </c>
      <c r="J85" s="133"/>
    </row>
    <row r="92" spans="2:10" x14ac:dyDescent="0.3">
      <c r="B92" s="105" t="s">
        <v>80</v>
      </c>
    </row>
    <row r="93" spans="2:10" x14ac:dyDescent="0.3">
      <c r="B93" t="s">
        <v>81</v>
      </c>
    </row>
    <row r="94" spans="2:10" x14ac:dyDescent="0.3">
      <c r="B94" t="s">
        <v>82</v>
      </c>
    </row>
  </sheetData>
  <mergeCells count="11">
    <mergeCell ref="R5:S5"/>
    <mergeCell ref="T5:U5"/>
    <mergeCell ref="H5:I5"/>
    <mergeCell ref="K5:L5"/>
    <mergeCell ref="B5:B6"/>
    <mergeCell ref="E5:E6"/>
    <mergeCell ref="F5:G5"/>
    <mergeCell ref="O5:P5"/>
    <mergeCell ref="C5:C6"/>
    <mergeCell ref="D5:D6"/>
    <mergeCell ref="M5:N5"/>
  </mergeCells>
  <conditionalFormatting sqref="O10:P11">
    <cfRule type="containsText" dxfId="7" priority="19" operator="containsText" text="Enter Value">
      <formula>NOT(ISERROR(SEARCH("Enter Value",O10)))</formula>
    </cfRule>
  </conditionalFormatting>
  <conditionalFormatting sqref="O18:P18">
    <cfRule type="containsText" dxfId="6" priority="20" operator="containsText" text="Enter Value">
      <formula>NOT(ISERROR(SEARCH("Enter Value",O18)))</formula>
    </cfRule>
  </conditionalFormatting>
  <conditionalFormatting sqref="O20:P21">
    <cfRule type="containsText" dxfId="5" priority="21" operator="containsText" text="Enter Value">
      <formula>NOT(ISERROR(SEARCH("Enter Value",O20)))</formula>
    </cfRule>
  </conditionalFormatting>
  <conditionalFormatting sqref="O30:P31">
    <cfRule type="containsText" dxfId="4" priority="17" operator="containsText" text="Enter Value">
      <formula>NOT(ISERROR(SEARCH("Enter Value",O30)))</formula>
    </cfRule>
  </conditionalFormatting>
  <conditionalFormatting sqref="O33:P35">
    <cfRule type="containsText" dxfId="3" priority="16" operator="containsText" text="Enter Value">
      <formula>NOT(ISERROR(SEARCH("Enter Value",O33)))</formula>
    </cfRule>
  </conditionalFormatting>
  <conditionalFormatting sqref="O41:P44">
    <cfRule type="containsText" dxfId="2" priority="14" operator="containsText" text="Enter Value">
      <formula>NOT(ISERROR(SEARCH("Enter Value",O41)))</formula>
    </cfRule>
  </conditionalFormatting>
  <conditionalFormatting sqref="O54:P58 O60:P65">
    <cfRule type="containsText" dxfId="1" priority="5" operator="containsText" text="Enter Value">
      <formula>NOT(ISERROR(SEARCH("Enter Value",O54)))</formula>
    </cfRule>
  </conditionalFormatting>
  <conditionalFormatting sqref="O67:P79">
    <cfRule type="containsText" dxfId="0" priority="1" operator="containsText" text="Enter Value">
      <formula>NOT(ISERROR(SEARCH("Enter Value",O67)))</formula>
    </cfRule>
  </conditionalFormatting>
  <pageMargins left="0.70866141732283472" right="0.70866141732283472" top="0.74803149606299213" bottom="0.74803149606299213" header="0.31496062992125984" footer="0.31496062992125984"/>
  <pageSetup paperSize="9" orientation="portrait" r:id="rId1"/>
  <headerFooter>
    <oddFooter>&amp;L&amp;9&amp;KFF0000This worksheet is provided to assist you to determine and report capital gains to HMRC.   Neither PA nor Jacobs act as your agent.  You use of this sheet is at your own risk.</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7AFE3-3727-4889-B13D-662714C1FCF3}">
  <sheetPr codeName="Sheet3">
    <pageSetUpPr fitToPage="1"/>
  </sheetPr>
  <dimension ref="B1:S52"/>
  <sheetViews>
    <sheetView zoomScale="120" zoomScaleNormal="120" workbookViewId="0">
      <pane ySplit="6" topLeftCell="A36" activePane="bottomLeft" state="frozen"/>
      <selection activeCell="T28" sqref="T28"/>
      <selection pane="bottomLeft" activeCell="D54" sqref="D54"/>
    </sheetView>
  </sheetViews>
  <sheetFormatPr defaultRowHeight="14.4" x14ac:dyDescent="0.3"/>
  <cols>
    <col min="1" max="1" width="2.5546875" customWidth="1"/>
    <col min="2" max="2" width="25.5546875" customWidth="1"/>
    <col min="3" max="3" width="10.6640625" customWidth="1"/>
    <col min="4" max="4" width="17.44140625" customWidth="1"/>
    <col min="5" max="9" width="21.33203125" customWidth="1"/>
    <col min="10" max="10" width="22.33203125" customWidth="1"/>
    <col min="11" max="11" width="10.109375" customWidth="1"/>
    <col min="12" max="14" width="8.6640625" customWidth="1"/>
    <col min="15" max="15" width="11.44140625" customWidth="1"/>
    <col min="16" max="21" width="8.6640625" customWidth="1"/>
  </cols>
  <sheetData>
    <row r="1" spans="2:19" ht="18" x14ac:dyDescent="0.3">
      <c r="B1" s="533" t="s">
        <v>83</v>
      </c>
      <c r="C1" s="534"/>
      <c r="D1" s="534"/>
      <c r="E1" s="534"/>
      <c r="F1" s="534"/>
      <c r="G1" s="534"/>
      <c r="H1" s="534"/>
      <c r="I1" s="534"/>
      <c r="J1" s="534"/>
      <c r="K1" s="534"/>
      <c r="L1" s="534"/>
      <c r="M1" s="534"/>
    </row>
    <row r="2" spans="2:19" s="10" customFormat="1" ht="20.100000000000001" customHeight="1" x14ac:dyDescent="0.25">
      <c r="B2" s="16" t="s">
        <v>36</v>
      </c>
      <c r="D2" s="7">
        <f>'Data CShare'!C6</f>
        <v>0</v>
      </c>
      <c r="F2" s="433" t="s">
        <v>198</v>
      </c>
      <c r="J2" s="17"/>
      <c r="K2" s="12"/>
      <c r="O2" s="11"/>
      <c r="P2" s="11"/>
      <c r="Q2" s="11"/>
    </row>
    <row r="3" spans="2:19" s="10" customFormat="1" ht="18" customHeight="1" x14ac:dyDescent="0.25">
      <c r="B3" s="16" t="s">
        <v>37</v>
      </c>
      <c r="D3" s="7">
        <f>'Data CShare'!B6</f>
        <v>0</v>
      </c>
      <c r="K3" s="13"/>
      <c r="L3" s="12"/>
      <c r="O3" s="11"/>
      <c r="P3" s="11"/>
      <c r="Q3" s="11"/>
    </row>
    <row r="4" spans="2:19" ht="16.2" thickBot="1" x14ac:dyDescent="0.35">
      <c r="B4" s="18"/>
      <c r="C4" s="18"/>
      <c r="D4" s="19"/>
      <c r="E4" s="2"/>
      <c r="F4" s="2"/>
      <c r="G4" s="2"/>
      <c r="H4" s="2"/>
      <c r="I4" s="2"/>
      <c r="J4" s="2"/>
      <c r="K4" s="2"/>
      <c r="L4" s="2"/>
      <c r="M4" s="20" t="str">
        <f>IF(K3="","",IF(M3="","PA’s Share Plans team will contact you to confirm your “leaver status” It may be some time after you have left PA before we can communicate your leaver status. ",""))</f>
        <v/>
      </c>
    </row>
    <row r="5" spans="2:19" ht="16.2" thickBot="1" x14ac:dyDescent="0.35">
      <c r="B5" s="535" t="s">
        <v>38</v>
      </c>
      <c r="C5" s="531" t="s">
        <v>84</v>
      </c>
      <c r="D5" s="536" t="s">
        <v>41</v>
      </c>
      <c r="E5" s="535" t="s">
        <v>85</v>
      </c>
      <c r="F5" s="535" t="s">
        <v>86</v>
      </c>
      <c r="G5" s="535" t="s">
        <v>87</v>
      </c>
      <c r="H5" s="535" t="s">
        <v>88</v>
      </c>
      <c r="I5" s="535" t="s">
        <v>89</v>
      </c>
      <c r="J5" s="535" t="s">
        <v>90</v>
      </c>
      <c r="K5" s="18"/>
      <c r="L5" s="537" t="s">
        <v>91</v>
      </c>
      <c r="M5" s="538"/>
      <c r="N5" s="539"/>
    </row>
    <row r="6" spans="2:19" ht="59.25" customHeight="1" thickBot="1" x14ac:dyDescent="0.35">
      <c r="B6" s="535"/>
      <c r="C6" s="532"/>
      <c r="D6" s="536"/>
      <c r="E6" s="531"/>
      <c r="F6" s="535"/>
      <c r="G6" s="535"/>
      <c r="H6" s="535"/>
      <c r="I6" s="535"/>
      <c r="J6" s="535"/>
      <c r="K6" s="18"/>
      <c r="L6" s="21" t="s">
        <v>92</v>
      </c>
      <c r="M6" s="21" t="s">
        <v>93</v>
      </c>
      <c r="N6" s="14" t="s">
        <v>94</v>
      </c>
      <c r="Q6" s="531" t="s">
        <v>95</v>
      </c>
      <c r="R6" s="531" t="s">
        <v>96</v>
      </c>
      <c r="S6" s="531" t="s">
        <v>97</v>
      </c>
    </row>
    <row r="7" spans="2:19" ht="15" customHeight="1" thickBot="1" x14ac:dyDescent="0.35">
      <c r="B7" s="81" t="s">
        <v>67</v>
      </c>
      <c r="C7" s="82">
        <v>705</v>
      </c>
      <c r="D7" s="96">
        <v>44384</v>
      </c>
      <c r="E7" s="148">
        <f>IFERROR(_xlfn.XLOOKUP(C7,'Data CShare'!L:L,'Data CShare'!G:G),0)</f>
        <v>0</v>
      </c>
      <c r="F7" s="206">
        <f>_xlfn.XLOOKUP(C7,'Data CShare'!L:L,'Data CShare'!I:I,0)</f>
        <v>0</v>
      </c>
      <c r="G7" s="147">
        <f>E7*F7</f>
        <v>0</v>
      </c>
      <c r="H7" s="151">
        <f>E7</f>
        <v>0</v>
      </c>
      <c r="I7" s="149">
        <f>G7</f>
        <v>0</v>
      </c>
      <c r="J7" s="101">
        <f>IFERROR(I7/H7,0)</f>
        <v>0</v>
      </c>
      <c r="Q7" s="532"/>
      <c r="R7" s="532"/>
      <c r="S7" s="532"/>
    </row>
    <row r="8" spans="2:19" ht="15" customHeight="1" x14ac:dyDescent="0.3">
      <c r="B8" s="83" t="str">
        <f>IF(E8&lt;0,"Transfer to Spouse",IF(E8&gt;0,"Transfer from spouse","Transfer"))</f>
        <v>Transfer</v>
      </c>
      <c r="C8" s="84">
        <v>708</v>
      </c>
      <c r="D8" s="97">
        <v>44418</v>
      </c>
      <c r="E8" s="204">
        <f>IFERROR(_xlfn.XLOOKUP(C8,'Data CShare'!L:L,'Data CShare'!G:G),0)</f>
        <v>0</v>
      </c>
      <c r="F8" s="237">
        <f>_xlfn.XLOOKUP(C8,'Data CShare'!L:L,'Data CShare'!I:I,0)</f>
        <v>0</v>
      </c>
      <c r="G8" s="205">
        <f t="shared" ref="G8:G46" si="0">IF(E8&gt;0,E8*F8,E8*J7)</f>
        <v>0</v>
      </c>
      <c r="H8" s="152">
        <f t="shared" ref="H8:H13" si="1">IFERROR(SUM(E8+H7),0)</f>
        <v>0</v>
      </c>
      <c r="I8" s="150">
        <f>I7+G8</f>
        <v>0</v>
      </c>
      <c r="J8" s="102">
        <f>IFERROR(I8/H8,0)</f>
        <v>0</v>
      </c>
    </row>
    <row r="9" spans="2:19" ht="15" customHeight="1" x14ac:dyDescent="0.3">
      <c r="B9" s="83" t="s">
        <v>68</v>
      </c>
      <c r="C9" s="84">
        <v>711</v>
      </c>
      <c r="D9" s="97">
        <v>44540</v>
      </c>
      <c r="E9" s="204">
        <f>IFERROR(_xlfn.XLOOKUP(C9,'Data CShare'!L:L,'Data CShare'!H:H),0)</f>
        <v>0</v>
      </c>
      <c r="F9" s="237">
        <f>_xlfn.XLOOKUP(C9,'Data CShare'!L:L,'Data CShare'!I:I,0)</f>
        <v>0</v>
      </c>
      <c r="G9" s="205">
        <f t="shared" si="0"/>
        <v>0</v>
      </c>
      <c r="H9" s="152">
        <f t="shared" si="1"/>
        <v>0</v>
      </c>
      <c r="I9" s="150">
        <f t="shared" ref="I9:I42" si="2">I8+G9</f>
        <v>0</v>
      </c>
      <c r="J9" s="102">
        <f>IFERROR(I9/H9,0)</f>
        <v>0</v>
      </c>
    </row>
    <row r="10" spans="2:19" ht="15" customHeight="1" x14ac:dyDescent="0.3">
      <c r="B10" s="83" t="str">
        <f>IF(E10&lt;0,"Transfer to Spouse",IF(E10&gt;0,"Transfer from spouse","Transfer"))</f>
        <v>Transfer</v>
      </c>
      <c r="C10" s="84">
        <v>719</v>
      </c>
      <c r="D10" s="97">
        <v>44553</v>
      </c>
      <c r="E10" s="204">
        <f>IFERROR(_xlfn.XLOOKUP(C10,'Data CShare'!L:L,'Data CShare'!H:H),0)</f>
        <v>0</v>
      </c>
      <c r="F10" s="237">
        <f>_xlfn.XLOOKUP(C10,'Data CShare'!L:L,'Data CShare'!I:I,0)</f>
        <v>0</v>
      </c>
      <c r="G10" s="205">
        <f t="shared" si="0"/>
        <v>0</v>
      </c>
      <c r="H10" s="152">
        <f t="shared" si="1"/>
        <v>0</v>
      </c>
      <c r="I10" s="150">
        <f t="shared" si="2"/>
        <v>0</v>
      </c>
      <c r="J10" s="102">
        <f>IFERROR(I10/H10,0)</f>
        <v>0</v>
      </c>
    </row>
    <row r="11" spans="2:19" ht="15" customHeight="1" x14ac:dyDescent="0.3">
      <c r="B11" s="83" t="str">
        <f>IF(E11&lt;0,"Transfer to Spouse",IF(E11&gt;0,"Transfer from spouse","Transfer"))</f>
        <v>Transfer</v>
      </c>
      <c r="C11" s="84">
        <v>722</v>
      </c>
      <c r="D11" s="97">
        <v>44624</v>
      </c>
      <c r="E11" s="204">
        <f>IFERROR(_xlfn.XLOOKUP(C11,'Data CShare'!L:L,'Data CShare'!G:G),0)</f>
        <v>0</v>
      </c>
      <c r="F11" s="237">
        <f>_xlfn.XLOOKUP(C11,'Data CShare'!L:L,'Data CShare'!I:I,0)</f>
        <v>0</v>
      </c>
      <c r="G11" s="205">
        <f t="shared" si="0"/>
        <v>0</v>
      </c>
      <c r="H11" s="152">
        <f t="shared" si="1"/>
        <v>0</v>
      </c>
      <c r="I11" s="150">
        <f t="shared" si="2"/>
        <v>0</v>
      </c>
      <c r="J11" s="102">
        <f>IFERROR(I11/H11,0)</f>
        <v>0</v>
      </c>
    </row>
    <row r="12" spans="2:19" ht="15" customHeight="1" x14ac:dyDescent="0.3">
      <c r="B12" s="83" t="s">
        <v>67</v>
      </c>
      <c r="C12" s="84">
        <v>737</v>
      </c>
      <c r="D12" s="97">
        <v>44734</v>
      </c>
      <c r="E12" s="204">
        <f>IFERROR(_xlfn.XLOOKUP(C12,'Data CShare'!L:L,'Data CShare'!G:G),0)</f>
        <v>0</v>
      </c>
      <c r="F12" s="237">
        <f>_xlfn.XLOOKUP(C12,'Data CShare'!L:L,'Data CShare'!I:I,0)</f>
        <v>0</v>
      </c>
      <c r="G12" s="205">
        <f t="shared" si="0"/>
        <v>0</v>
      </c>
      <c r="H12" s="152">
        <f t="shared" si="1"/>
        <v>0</v>
      </c>
      <c r="I12" s="150">
        <f>I11+G12</f>
        <v>0</v>
      </c>
      <c r="J12" s="102">
        <f t="shared" ref="J12:J46" si="3">IFERROR(I12/H12,0)</f>
        <v>0</v>
      </c>
    </row>
    <row r="13" spans="2:19" ht="15" customHeight="1" x14ac:dyDescent="0.3">
      <c r="B13" s="83" t="s">
        <v>68</v>
      </c>
      <c r="C13" s="84">
        <v>738</v>
      </c>
      <c r="D13" s="97">
        <v>44734</v>
      </c>
      <c r="E13" s="204">
        <f>IFERROR(_xlfn.XLOOKUP(C13,'Data CShare'!L:L,'Data CShare'!H:H),0)</f>
        <v>0</v>
      </c>
      <c r="F13" s="237">
        <f>_xlfn.XLOOKUP(C13,'Data CShare'!L:L,'Data CShare'!I:I,0)</f>
        <v>0</v>
      </c>
      <c r="G13" s="205">
        <f t="shared" si="0"/>
        <v>0</v>
      </c>
      <c r="H13" s="152">
        <f t="shared" si="1"/>
        <v>0</v>
      </c>
      <c r="I13" s="150">
        <f t="shared" si="2"/>
        <v>0</v>
      </c>
      <c r="J13" s="102">
        <f t="shared" si="3"/>
        <v>0</v>
      </c>
    </row>
    <row r="14" spans="2:19" ht="15" customHeight="1" x14ac:dyDescent="0.3">
      <c r="B14" s="83" t="str">
        <f>IF(E14&lt;0,"Transfer to Spouse",IF(E14&gt;0,"Transfer from spouse","Transfer"))</f>
        <v>Transfer</v>
      </c>
      <c r="C14" s="84">
        <v>741</v>
      </c>
      <c r="D14" s="97">
        <v>44753</v>
      </c>
      <c r="E14" s="204">
        <f>IFERROR(_xlfn.XLOOKUP(C14,'Data CShare'!L:L,'Data CShare'!G:G),0)</f>
        <v>0</v>
      </c>
      <c r="F14" s="237">
        <f>_xlfn.XLOOKUP(C14,'Data CShare'!L:L,'Data CShare'!I:I,0)</f>
        <v>0</v>
      </c>
      <c r="G14" s="205">
        <f t="shared" si="0"/>
        <v>0</v>
      </c>
      <c r="H14" s="152">
        <f>IFERROR(SUM(E14+H13),0)</f>
        <v>0</v>
      </c>
      <c r="I14" s="150">
        <f t="shared" si="2"/>
        <v>0</v>
      </c>
      <c r="J14" s="102">
        <f t="shared" si="3"/>
        <v>0</v>
      </c>
    </row>
    <row r="15" spans="2:19" ht="15" customHeight="1" x14ac:dyDescent="0.3">
      <c r="B15" s="83" t="str">
        <f>IF(E15&lt;0,"Transfer to Spouse",IF(E15&gt;0,"Transfer from spouse","Transfer"))</f>
        <v>Transfer</v>
      </c>
      <c r="C15" s="84">
        <v>744</v>
      </c>
      <c r="D15" s="97">
        <v>44876</v>
      </c>
      <c r="E15" s="204">
        <f>IFERROR(_xlfn.XLOOKUP(C15,'Data CShare'!L:L,'Data CShare'!G:G),0)</f>
        <v>0</v>
      </c>
      <c r="F15" s="237">
        <f>_xlfn.XLOOKUP(C15,'Data CShare'!L:L,'Data CShare'!I:I,0)</f>
        <v>0</v>
      </c>
      <c r="G15" s="205">
        <f t="shared" si="0"/>
        <v>0</v>
      </c>
      <c r="H15" s="152">
        <f>IFERROR(SUM(E15+H14),0)</f>
        <v>0</v>
      </c>
      <c r="I15" s="150">
        <f t="shared" si="2"/>
        <v>0</v>
      </c>
      <c r="J15" s="102">
        <f t="shared" si="3"/>
        <v>0</v>
      </c>
    </row>
    <row r="16" spans="2:19" ht="15" customHeight="1" x14ac:dyDescent="0.3">
      <c r="B16" s="83" t="s">
        <v>68</v>
      </c>
      <c r="C16" s="84">
        <v>747</v>
      </c>
      <c r="D16" s="97">
        <v>44910</v>
      </c>
      <c r="E16" s="204">
        <f>IFERROR(_xlfn.XLOOKUP(C16,'Data CShare'!L:L,'Data CShare'!H:H),0)</f>
        <v>0</v>
      </c>
      <c r="F16" s="237">
        <f>_xlfn.XLOOKUP(C16,'Data CShare'!L:L,'Data CShare'!I:I,0)</f>
        <v>0</v>
      </c>
      <c r="G16" s="205">
        <f t="shared" si="0"/>
        <v>0</v>
      </c>
      <c r="H16" s="152">
        <f>IFERROR(SUM(E16+H15),0)</f>
        <v>0</v>
      </c>
      <c r="I16" s="150">
        <f t="shared" si="2"/>
        <v>0</v>
      </c>
      <c r="J16" s="102">
        <f t="shared" si="3"/>
        <v>0</v>
      </c>
    </row>
    <row r="17" spans="2:18" ht="15" customHeight="1" x14ac:dyDescent="0.3">
      <c r="B17" s="83" t="s">
        <v>68</v>
      </c>
      <c r="C17" s="84">
        <v>753</v>
      </c>
      <c r="D17" s="97">
        <v>44979</v>
      </c>
      <c r="E17" s="204">
        <f>IFERROR(_xlfn.XLOOKUP(C17,'Data CShare'!L:L,'Data CShare'!H:H),0)</f>
        <v>0</v>
      </c>
      <c r="F17" s="237">
        <f>_xlfn.XLOOKUP(C17,'Data CShare'!L:L,'Data CShare'!I:I,0)</f>
        <v>0</v>
      </c>
      <c r="G17" s="205">
        <f t="shared" si="0"/>
        <v>0</v>
      </c>
      <c r="H17" s="152">
        <f t="shared" ref="H17:H22" si="4">IFERROR(SUM(E17+H16),0)</f>
        <v>0</v>
      </c>
      <c r="I17" s="150">
        <f t="shared" si="2"/>
        <v>0</v>
      </c>
      <c r="J17" s="102">
        <f t="shared" si="3"/>
        <v>0</v>
      </c>
    </row>
    <row r="18" spans="2:18" ht="15" customHeight="1" x14ac:dyDescent="0.3">
      <c r="B18" s="83" t="s">
        <v>71</v>
      </c>
      <c r="C18" s="84">
        <v>759</v>
      </c>
      <c r="D18" s="97">
        <v>45016</v>
      </c>
      <c r="E18" s="204">
        <f>IFERROR(_xlfn.XLOOKUP(C18,'Data CShare'!L:L,'Data CShare'!G:G),0)</f>
        <v>0</v>
      </c>
      <c r="F18" s="237">
        <f>_xlfn.XLOOKUP(C18,'Data CShare'!L:L,'Data CShare'!I:I,0)</f>
        <v>0</v>
      </c>
      <c r="G18" s="205">
        <f t="shared" si="0"/>
        <v>0</v>
      </c>
      <c r="H18" s="152">
        <f t="shared" si="4"/>
        <v>0</v>
      </c>
      <c r="I18" s="150">
        <f t="shared" si="2"/>
        <v>0</v>
      </c>
      <c r="J18" s="102">
        <f t="shared" si="3"/>
        <v>0</v>
      </c>
    </row>
    <row r="19" spans="2:18" ht="15" customHeight="1" x14ac:dyDescent="0.3">
      <c r="B19" s="83" t="s">
        <v>67</v>
      </c>
      <c r="C19" s="84">
        <v>773</v>
      </c>
      <c r="D19" s="97">
        <v>45065</v>
      </c>
      <c r="E19" s="204">
        <f>IFERROR(_xlfn.XLOOKUP(C19,'Data CShare'!L:L,'Data CShare'!G:G),0)</f>
        <v>0</v>
      </c>
      <c r="F19" s="237">
        <f>_xlfn.XLOOKUP(C19,'Data CShare'!L:L,'Data CShare'!I:I,0)</f>
        <v>0</v>
      </c>
      <c r="G19" s="205">
        <f t="shared" si="0"/>
        <v>0</v>
      </c>
      <c r="H19" s="152">
        <f t="shared" si="4"/>
        <v>0</v>
      </c>
      <c r="I19" s="150">
        <f t="shared" si="2"/>
        <v>0</v>
      </c>
      <c r="J19" s="102">
        <f t="shared" si="3"/>
        <v>0</v>
      </c>
    </row>
    <row r="20" spans="2:18" ht="15" customHeight="1" x14ac:dyDescent="0.3">
      <c r="B20" s="83" t="s">
        <v>68</v>
      </c>
      <c r="C20" s="84">
        <v>772</v>
      </c>
      <c r="D20" s="97">
        <v>45065</v>
      </c>
      <c r="E20" s="204">
        <f>IFERROR(_xlfn.XLOOKUP(C20,'Data CShare'!L:L,'Data CShare'!H:H),0)</f>
        <v>0</v>
      </c>
      <c r="F20" s="237">
        <f>_xlfn.XLOOKUP(C20,'Data CShare'!L:L,'Data CShare'!I:I,0)</f>
        <v>0</v>
      </c>
      <c r="G20" s="205">
        <f t="shared" si="0"/>
        <v>0</v>
      </c>
      <c r="H20" s="152">
        <f t="shared" si="4"/>
        <v>0</v>
      </c>
      <c r="I20" s="150">
        <f t="shared" si="2"/>
        <v>0</v>
      </c>
      <c r="J20" s="102">
        <f t="shared" si="3"/>
        <v>0</v>
      </c>
    </row>
    <row r="21" spans="2:18" ht="15" customHeight="1" x14ac:dyDescent="0.3">
      <c r="B21" s="83" t="s">
        <v>67</v>
      </c>
      <c r="C21" s="84">
        <v>774</v>
      </c>
      <c r="D21" s="97">
        <v>45078</v>
      </c>
      <c r="E21" s="204">
        <f>IFERROR(_xlfn.XLOOKUP(C21,'Data CShare'!L:L,'Data CShare'!G:G),0)</f>
        <v>0</v>
      </c>
      <c r="F21" s="237">
        <f>_xlfn.XLOOKUP(C21,'Data CShare'!L:L,'Data CShare'!I:I,0)</f>
        <v>0</v>
      </c>
      <c r="G21" s="205">
        <f t="shared" si="0"/>
        <v>0</v>
      </c>
      <c r="H21" s="152">
        <f t="shared" si="4"/>
        <v>0</v>
      </c>
      <c r="I21" s="150">
        <f t="shared" si="2"/>
        <v>0</v>
      </c>
      <c r="J21" s="102">
        <f t="shared" si="3"/>
        <v>0</v>
      </c>
    </row>
    <row r="22" spans="2:18" ht="15" customHeight="1" x14ac:dyDescent="0.3">
      <c r="B22" s="83" t="s">
        <v>67</v>
      </c>
      <c r="C22" s="84">
        <v>780</v>
      </c>
      <c r="D22" s="97">
        <v>45103</v>
      </c>
      <c r="E22" s="204">
        <f>IFERROR(_xlfn.XLOOKUP(C22,'Data CShare'!L:L,'Data CShare'!G:G),0)</f>
        <v>0</v>
      </c>
      <c r="F22" s="237">
        <f>_xlfn.XLOOKUP(C22,'Data CShare'!L:L,'Data CShare'!I:I,0)</f>
        <v>0</v>
      </c>
      <c r="G22" s="205">
        <f t="shared" si="0"/>
        <v>0</v>
      </c>
      <c r="H22" s="152">
        <f t="shared" si="4"/>
        <v>0</v>
      </c>
      <c r="I22" s="150">
        <f t="shared" si="2"/>
        <v>0</v>
      </c>
      <c r="J22" s="102">
        <f t="shared" si="3"/>
        <v>0</v>
      </c>
    </row>
    <row r="23" spans="2:18" ht="15" customHeight="1" x14ac:dyDescent="0.3">
      <c r="B23" s="83" t="s">
        <v>71</v>
      </c>
      <c r="C23" s="84">
        <v>784</v>
      </c>
      <c r="D23" s="97">
        <v>45124</v>
      </c>
      <c r="E23" s="204">
        <f>IFERROR(_xlfn.XLOOKUP(C23,'Data CShare'!L:L,'Data CShare'!G:G),0)</f>
        <v>0</v>
      </c>
      <c r="F23" s="237">
        <f>_xlfn.XLOOKUP(C23,'Data CShare'!L:L,'Data CShare'!I:I,0)</f>
        <v>0</v>
      </c>
      <c r="G23" s="205">
        <f t="shared" si="0"/>
        <v>0</v>
      </c>
      <c r="H23" s="152">
        <f t="shared" ref="H23:H42" si="5">IFERROR(SUM(E23+H22),0)</f>
        <v>0</v>
      </c>
      <c r="I23" s="150">
        <f t="shared" si="2"/>
        <v>0</v>
      </c>
      <c r="J23" s="102">
        <f t="shared" si="3"/>
        <v>0</v>
      </c>
    </row>
    <row r="24" spans="2:18" ht="15" customHeight="1" x14ac:dyDescent="0.3">
      <c r="B24" s="83" t="s">
        <v>68</v>
      </c>
      <c r="C24" s="84">
        <v>791</v>
      </c>
      <c r="D24" s="97">
        <v>45191</v>
      </c>
      <c r="E24" s="204">
        <f>IFERROR(_xlfn.XLOOKUP(C24,'Data CShare'!L:L,'Data CShare'!H:H),0)</f>
        <v>0</v>
      </c>
      <c r="F24" s="237">
        <f>_xlfn.XLOOKUP(C24,'Data CShare'!L:L,'Data CShare'!I:I,0)</f>
        <v>0</v>
      </c>
      <c r="G24" s="205">
        <f t="shared" si="0"/>
        <v>0</v>
      </c>
      <c r="H24" s="152">
        <f t="shared" si="5"/>
        <v>0</v>
      </c>
      <c r="I24" s="150">
        <f t="shared" si="2"/>
        <v>0</v>
      </c>
      <c r="J24" s="102">
        <f t="shared" si="3"/>
        <v>0</v>
      </c>
      <c r="Q24">
        <v>793</v>
      </c>
      <c r="R24">
        <v>794</v>
      </c>
    </row>
    <row r="25" spans="2:18" ht="15" customHeight="1" x14ac:dyDescent="0.3">
      <c r="B25" s="83" t="s">
        <v>68</v>
      </c>
      <c r="C25" s="84">
        <v>799</v>
      </c>
      <c r="D25" s="97">
        <v>45261</v>
      </c>
      <c r="E25" s="204">
        <f>IFERROR(_xlfn.XLOOKUP(C25,'Data CShare'!L:L,'Data CShare'!H:H),0)</f>
        <v>0</v>
      </c>
      <c r="F25" s="237">
        <f>_xlfn.XLOOKUP(C25,'Data CShare'!L:L,'Data CShare'!I:I,0)</f>
        <v>0</v>
      </c>
      <c r="G25" s="205">
        <f t="shared" si="0"/>
        <v>0</v>
      </c>
      <c r="H25" s="152">
        <f t="shared" si="5"/>
        <v>0</v>
      </c>
      <c r="I25" s="150">
        <f t="shared" si="2"/>
        <v>0</v>
      </c>
      <c r="J25" s="102">
        <f t="shared" si="3"/>
        <v>0</v>
      </c>
      <c r="Q25">
        <v>800</v>
      </c>
      <c r="R25">
        <v>801</v>
      </c>
    </row>
    <row r="26" spans="2:18" ht="15" customHeight="1" x14ac:dyDescent="0.3">
      <c r="B26" s="83" t="s">
        <v>71</v>
      </c>
      <c r="C26" s="84">
        <v>805</v>
      </c>
      <c r="D26" s="97">
        <v>45257</v>
      </c>
      <c r="E26" s="204">
        <f>IFERROR(_xlfn.XLOOKUP(C26,'Data CShare'!L:L,'Data CShare'!G:G),0)</f>
        <v>0</v>
      </c>
      <c r="F26" s="237">
        <f>_xlfn.XLOOKUP(C26,'Data CShare'!L:L,'Data CShare'!I:I,0)</f>
        <v>0</v>
      </c>
      <c r="G26" s="205">
        <f t="shared" si="0"/>
        <v>0</v>
      </c>
      <c r="H26" s="152">
        <f t="shared" si="5"/>
        <v>0</v>
      </c>
      <c r="I26" s="150">
        <f t="shared" si="2"/>
        <v>0</v>
      </c>
      <c r="J26" s="102">
        <f t="shared" si="3"/>
        <v>0</v>
      </c>
    </row>
    <row r="27" spans="2:18" ht="15" customHeight="1" x14ac:dyDescent="0.3">
      <c r="B27" s="83" t="s">
        <v>68</v>
      </c>
      <c r="C27" s="84">
        <v>806</v>
      </c>
      <c r="D27" s="97">
        <v>45274</v>
      </c>
      <c r="E27" s="204">
        <f>IFERROR(_xlfn.XLOOKUP(C27,'Data CShare'!L:L,'Data CShare'!H:H),0)</f>
        <v>0</v>
      </c>
      <c r="F27" s="237">
        <f>_xlfn.XLOOKUP(C27,'Data CShare'!L:L,'Data CShare'!I:I,0)</f>
        <v>0</v>
      </c>
      <c r="G27" s="205">
        <f t="shared" si="0"/>
        <v>0</v>
      </c>
      <c r="H27" s="152">
        <f t="shared" si="5"/>
        <v>0</v>
      </c>
      <c r="I27" s="150">
        <f t="shared" si="2"/>
        <v>0</v>
      </c>
      <c r="J27" s="102">
        <f t="shared" si="3"/>
        <v>0</v>
      </c>
      <c r="Q27">
        <v>807</v>
      </c>
      <c r="R27">
        <v>808</v>
      </c>
    </row>
    <row r="28" spans="2:18" ht="15" customHeight="1" x14ac:dyDescent="0.3">
      <c r="B28" s="83" t="s">
        <v>67</v>
      </c>
      <c r="C28" s="84">
        <v>821</v>
      </c>
      <c r="D28" s="97">
        <v>45447</v>
      </c>
      <c r="E28" s="204">
        <f>IFERROR(_xlfn.XLOOKUP(C28,'Data CShare'!L:L,'Data CShare'!G:G),0)</f>
        <v>0</v>
      </c>
      <c r="F28" s="237">
        <f>_xlfn.XLOOKUP(C28,'Data CShare'!L:L,'Data CShare'!I:I,0)</f>
        <v>0</v>
      </c>
      <c r="G28" s="205">
        <f t="shared" si="0"/>
        <v>0</v>
      </c>
      <c r="H28" s="152">
        <f t="shared" si="5"/>
        <v>0</v>
      </c>
      <c r="I28" s="150">
        <f t="shared" si="2"/>
        <v>0</v>
      </c>
      <c r="J28" s="102">
        <f t="shared" si="3"/>
        <v>0</v>
      </c>
    </row>
    <row r="29" spans="2:18" ht="15" customHeight="1" x14ac:dyDescent="0.3">
      <c r="B29" s="83" t="s">
        <v>68</v>
      </c>
      <c r="C29" s="84">
        <v>822</v>
      </c>
      <c r="D29" s="97">
        <v>45447</v>
      </c>
      <c r="E29" s="204">
        <f>IFERROR(_xlfn.XLOOKUP(C29,'Data CShare'!L:L,'Data CShare'!H:H),0)</f>
        <v>0</v>
      </c>
      <c r="F29" s="237">
        <f>_xlfn.XLOOKUP(C29,'Data CShare'!L:L,'Data CShare'!I:I,0)</f>
        <v>0</v>
      </c>
      <c r="G29" s="205">
        <f t="shared" si="0"/>
        <v>0</v>
      </c>
      <c r="H29" s="152">
        <f t="shared" si="5"/>
        <v>0</v>
      </c>
      <c r="I29" s="150">
        <f t="shared" si="2"/>
        <v>0</v>
      </c>
      <c r="J29" s="102">
        <f t="shared" si="3"/>
        <v>0</v>
      </c>
      <c r="Q29">
        <v>823</v>
      </c>
      <c r="R29">
        <v>824</v>
      </c>
    </row>
    <row r="30" spans="2:18" ht="15" customHeight="1" x14ac:dyDescent="0.3">
      <c r="B30" s="83" t="s">
        <v>67</v>
      </c>
      <c r="C30" s="84">
        <v>825</v>
      </c>
      <c r="D30" s="97">
        <v>45461</v>
      </c>
      <c r="E30" s="204">
        <f>IFERROR(_xlfn.XLOOKUP(C30,'Data CShare'!L:L,'Data CShare'!G:G),0)</f>
        <v>0</v>
      </c>
      <c r="F30" s="237">
        <f>_xlfn.XLOOKUP(C30,'Data CShare'!L:L,'Data CShare'!I:I,0)</f>
        <v>0</v>
      </c>
      <c r="G30" s="205">
        <f t="shared" si="0"/>
        <v>0</v>
      </c>
      <c r="H30" s="152">
        <f t="shared" si="5"/>
        <v>0</v>
      </c>
      <c r="I30" s="150">
        <f t="shared" si="2"/>
        <v>0</v>
      </c>
      <c r="J30" s="102">
        <f t="shared" si="3"/>
        <v>0</v>
      </c>
    </row>
    <row r="31" spans="2:18" ht="15" customHeight="1" x14ac:dyDescent="0.3">
      <c r="B31" s="83" t="s">
        <v>67</v>
      </c>
      <c r="C31" s="84">
        <v>827</v>
      </c>
      <c r="D31" s="97">
        <v>45467</v>
      </c>
      <c r="E31" s="204">
        <f>IFERROR(_xlfn.XLOOKUP(C31,'Data CShare'!L:L,'Data CShare'!G:G),0)</f>
        <v>0</v>
      </c>
      <c r="F31" s="237">
        <f>_xlfn.XLOOKUP(C31,'Data CShare'!L:L,'Data CShare'!I:I,0)</f>
        <v>0</v>
      </c>
      <c r="G31" s="205">
        <f t="shared" si="0"/>
        <v>0</v>
      </c>
      <c r="H31" s="152">
        <f t="shared" si="5"/>
        <v>0</v>
      </c>
      <c r="I31" s="150">
        <f t="shared" si="2"/>
        <v>0</v>
      </c>
      <c r="J31" s="102">
        <f t="shared" si="3"/>
        <v>0</v>
      </c>
    </row>
    <row r="32" spans="2:18" ht="15" customHeight="1" x14ac:dyDescent="0.3">
      <c r="B32" s="83" t="s">
        <v>71</v>
      </c>
      <c r="C32" s="84">
        <v>831</v>
      </c>
      <c r="D32" s="97">
        <v>45477</v>
      </c>
      <c r="E32" s="204">
        <f>IFERROR(_xlfn.XLOOKUP(C32,'Data CShare'!L:L,'Data CShare'!G:G),0)</f>
        <v>0</v>
      </c>
      <c r="F32" s="237">
        <f>_xlfn.XLOOKUP(C32,'Data CShare'!L:L,'Data CShare'!I:I,0)</f>
        <v>0</v>
      </c>
      <c r="G32" s="205">
        <f t="shared" si="0"/>
        <v>0</v>
      </c>
      <c r="H32" s="152">
        <f t="shared" si="5"/>
        <v>0</v>
      </c>
      <c r="I32" s="150">
        <f t="shared" si="2"/>
        <v>0</v>
      </c>
      <c r="J32" s="102">
        <f t="shared" si="3"/>
        <v>0</v>
      </c>
    </row>
    <row r="33" spans="2:19" ht="15" customHeight="1" x14ac:dyDescent="0.3">
      <c r="B33" s="83" t="s">
        <v>68</v>
      </c>
      <c r="C33" s="84">
        <v>836</v>
      </c>
      <c r="D33" s="97">
        <v>45555</v>
      </c>
      <c r="E33" s="204">
        <f>IFERROR(_xlfn.XLOOKUP(C33,'Data CShare'!L:L,'Data CShare'!H:H),0)</f>
        <v>0</v>
      </c>
      <c r="F33" s="237">
        <f>_xlfn.XLOOKUP(C33,'Data CShare'!L:L,'Data CShare'!I:I,0)</f>
        <v>0</v>
      </c>
      <c r="G33" s="205">
        <f t="shared" si="0"/>
        <v>0</v>
      </c>
      <c r="H33" s="152">
        <f t="shared" si="5"/>
        <v>0</v>
      </c>
      <c r="I33" s="150">
        <f t="shared" si="2"/>
        <v>0</v>
      </c>
      <c r="J33" s="102">
        <f t="shared" si="3"/>
        <v>0</v>
      </c>
      <c r="Q33">
        <v>837</v>
      </c>
      <c r="R33">
        <v>838</v>
      </c>
      <c r="S33">
        <v>839</v>
      </c>
    </row>
    <row r="34" spans="2:19" ht="15" customHeight="1" x14ac:dyDescent="0.3">
      <c r="B34" s="83" t="s">
        <v>71</v>
      </c>
      <c r="C34" s="84">
        <v>845</v>
      </c>
      <c r="D34" s="97">
        <v>45568</v>
      </c>
      <c r="E34" s="204">
        <f>IFERROR(_xlfn.XLOOKUP(C34,'Data CShare'!L:L,'Data CShare'!G:G),0)</f>
        <v>0</v>
      </c>
      <c r="F34" s="237">
        <f>_xlfn.XLOOKUP(C34,'Data CShare'!L:L,'Data CShare'!I:I,0)</f>
        <v>0</v>
      </c>
      <c r="G34" s="205">
        <f t="shared" si="0"/>
        <v>0</v>
      </c>
      <c r="H34" s="152">
        <f t="shared" si="5"/>
        <v>0</v>
      </c>
      <c r="I34" s="150">
        <f t="shared" si="2"/>
        <v>0</v>
      </c>
      <c r="J34" s="102">
        <f t="shared" si="3"/>
        <v>0</v>
      </c>
    </row>
    <row r="35" spans="2:19" ht="15" customHeight="1" x14ac:dyDescent="0.3">
      <c r="B35" s="83" t="s">
        <v>71</v>
      </c>
      <c r="C35" s="84">
        <v>848</v>
      </c>
      <c r="D35" s="97">
        <v>45590</v>
      </c>
      <c r="E35" s="204">
        <f>IFERROR(_xlfn.XLOOKUP(C35,'Data CShare'!L:L,'Data CShare'!G:G),0)</f>
        <v>0</v>
      </c>
      <c r="F35" s="237">
        <f>_xlfn.XLOOKUP(C35,'Data CShare'!L:L,'Data CShare'!I:I,0)</f>
        <v>0</v>
      </c>
      <c r="G35" s="205">
        <f t="shared" si="0"/>
        <v>0</v>
      </c>
      <c r="H35" s="152">
        <f t="shared" si="5"/>
        <v>0</v>
      </c>
      <c r="I35" s="150">
        <f t="shared" si="2"/>
        <v>0</v>
      </c>
      <c r="J35" s="102">
        <f t="shared" si="3"/>
        <v>0</v>
      </c>
    </row>
    <row r="36" spans="2:19" ht="15" customHeight="1" x14ac:dyDescent="0.3">
      <c r="B36" s="83" t="s">
        <v>68</v>
      </c>
      <c r="C36" s="84">
        <v>856</v>
      </c>
      <c r="D36" s="97">
        <v>45643</v>
      </c>
      <c r="E36" s="204">
        <f>IFERROR(_xlfn.XLOOKUP(C36,'Data CShare'!L:L,'Data CShare'!H:H),0)</f>
        <v>0</v>
      </c>
      <c r="F36" s="237">
        <f>_xlfn.XLOOKUP(C36,'Data CShare'!L:L,'Data CShare'!I:I,0)</f>
        <v>0</v>
      </c>
      <c r="G36" s="205">
        <f t="shared" si="0"/>
        <v>0</v>
      </c>
      <c r="H36" s="152">
        <f t="shared" si="5"/>
        <v>0</v>
      </c>
      <c r="I36" s="150">
        <f t="shared" si="2"/>
        <v>0</v>
      </c>
      <c r="J36" s="102">
        <f t="shared" si="3"/>
        <v>0</v>
      </c>
      <c r="Q36">
        <v>857</v>
      </c>
      <c r="R36">
        <v>858</v>
      </c>
      <c r="S36">
        <v>859</v>
      </c>
    </row>
    <row r="37" spans="2:19" ht="15" customHeight="1" x14ac:dyDescent="0.3">
      <c r="B37" s="83" t="s">
        <v>68</v>
      </c>
      <c r="C37" s="84">
        <v>864</v>
      </c>
      <c r="D37" s="97">
        <v>45716</v>
      </c>
      <c r="E37" s="204">
        <f>IFERROR(_xlfn.XLOOKUP(C37,'Data CShare'!L:L,'Data CShare'!H:H),0)</f>
        <v>0</v>
      </c>
      <c r="F37" s="237">
        <f>_xlfn.XLOOKUP(C37,'Data CShare'!L:L,'Data CShare'!I:I,0)</f>
        <v>0</v>
      </c>
      <c r="G37" s="205">
        <f t="shared" si="0"/>
        <v>0</v>
      </c>
      <c r="H37" s="152">
        <f t="shared" si="5"/>
        <v>0</v>
      </c>
      <c r="I37" s="150">
        <f t="shared" si="2"/>
        <v>0</v>
      </c>
      <c r="J37" s="102">
        <f t="shared" si="3"/>
        <v>0</v>
      </c>
    </row>
    <row r="38" spans="2:19" ht="15" customHeight="1" x14ac:dyDescent="0.3">
      <c r="B38" s="83" t="s">
        <v>71</v>
      </c>
      <c r="C38" s="84">
        <v>870</v>
      </c>
      <c r="D38" s="97">
        <v>45741</v>
      </c>
      <c r="E38" s="204">
        <f>IFERROR(_xlfn.XLOOKUP(C38,'Data CShare'!L:L,'Data CShare'!G:G),0)</f>
        <v>0</v>
      </c>
      <c r="F38" s="237">
        <f>_xlfn.XLOOKUP(C38,'Data CShare'!L:L,'Data CShare'!I:I,0)</f>
        <v>0</v>
      </c>
      <c r="G38" s="205">
        <f t="shared" si="0"/>
        <v>0</v>
      </c>
      <c r="H38" s="152">
        <f t="shared" si="5"/>
        <v>0</v>
      </c>
      <c r="I38" s="150">
        <f t="shared" si="2"/>
        <v>0</v>
      </c>
      <c r="J38" s="102">
        <f t="shared" si="3"/>
        <v>0</v>
      </c>
    </row>
    <row r="39" spans="2:19" ht="15" customHeight="1" x14ac:dyDescent="0.3">
      <c r="B39" s="83" t="s">
        <v>68</v>
      </c>
      <c r="C39" s="84">
        <v>875</v>
      </c>
      <c r="D39" s="97">
        <v>45824</v>
      </c>
      <c r="E39" s="204">
        <f>IFERROR(_xlfn.XLOOKUP(C39,'Data CShare'!L:L,'Data CShare'!H:H),0)</f>
        <v>0</v>
      </c>
      <c r="F39" s="237">
        <f>_xlfn.XLOOKUP(C39,'Data CShare'!L:L,'Data CShare'!I:I,0)</f>
        <v>0</v>
      </c>
      <c r="G39" s="205">
        <f t="shared" si="0"/>
        <v>0</v>
      </c>
      <c r="H39" s="152">
        <f t="shared" si="5"/>
        <v>0</v>
      </c>
      <c r="I39" s="150">
        <f t="shared" si="2"/>
        <v>0</v>
      </c>
      <c r="J39" s="102">
        <f t="shared" si="3"/>
        <v>0</v>
      </c>
      <c r="Q39">
        <v>876</v>
      </c>
      <c r="R39">
        <v>877</v>
      </c>
      <c r="S39">
        <v>878</v>
      </c>
    </row>
    <row r="40" spans="2:19" x14ac:dyDescent="0.3">
      <c r="B40" s="83" t="s">
        <v>68</v>
      </c>
      <c r="C40" s="84">
        <v>888</v>
      </c>
      <c r="D40" s="97">
        <v>45919</v>
      </c>
      <c r="E40" s="204">
        <f>IFERROR(_xlfn.XLOOKUP(C40,'Data CShare'!L:L,'Data CShare'!H:H),0)</f>
        <v>0</v>
      </c>
      <c r="F40" s="237">
        <f>_xlfn.XLOOKUP(C40,'Data CShare'!L:L,'Data CShare'!I:I,0)</f>
        <v>0</v>
      </c>
      <c r="G40" s="205">
        <f t="shared" si="0"/>
        <v>0</v>
      </c>
      <c r="H40" s="152">
        <f t="shared" si="5"/>
        <v>0</v>
      </c>
      <c r="I40" s="150">
        <f t="shared" si="2"/>
        <v>0</v>
      </c>
      <c r="J40" s="102">
        <f t="shared" si="3"/>
        <v>0</v>
      </c>
      <c r="Q40">
        <v>889</v>
      </c>
      <c r="R40">
        <v>890</v>
      </c>
      <c r="S40">
        <v>891</v>
      </c>
    </row>
    <row r="41" spans="2:19" x14ac:dyDescent="0.3">
      <c r="B41" s="83" t="s">
        <v>68</v>
      </c>
      <c r="C41" s="84"/>
      <c r="D41" s="97">
        <v>45973</v>
      </c>
      <c r="E41" s="204">
        <f>IFERROR(_xlfn.XLOOKUP(C41,'Data CShare'!L:L,'Data CShare'!H:H),0)</f>
        <v>0</v>
      </c>
      <c r="F41" s="237">
        <f>_xlfn.XLOOKUP(C41,'Data CShare'!L:L,'Data CShare'!I:I,0)</f>
        <v>0</v>
      </c>
      <c r="G41" s="205">
        <f t="shared" si="0"/>
        <v>0</v>
      </c>
      <c r="H41" s="152">
        <f t="shared" si="5"/>
        <v>0</v>
      </c>
      <c r="I41" s="150">
        <f t="shared" si="2"/>
        <v>0</v>
      </c>
      <c r="J41" s="102">
        <f t="shared" si="3"/>
        <v>0</v>
      </c>
      <c r="S41">
        <v>899</v>
      </c>
    </row>
    <row r="42" spans="2:19" x14ac:dyDescent="0.3">
      <c r="B42" s="83" t="s">
        <v>68</v>
      </c>
      <c r="C42" s="84">
        <v>907</v>
      </c>
      <c r="D42" s="97">
        <v>46045</v>
      </c>
      <c r="E42" s="204">
        <f>IFERROR(_xlfn.XLOOKUP(C42,'Data CShare'!L:L,'Data CShare'!H:H),0)</f>
        <v>0</v>
      </c>
      <c r="F42" s="237">
        <f>_xlfn.XLOOKUP(C42,'Data CShare'!L:L,'Data CShare'!I:I,0)</f>
        <v>0</v>
      </c>
      <c r="G42" s="205">
        <f t="shared" si="0"/>
        <v>0</v>
      </c>
      <c r="H42" s="152">
        <f t="shared" si="5"/>
        <v>0</v>
      </c>
      <c r="I42" s="150">
        <f t="shared" si="2"/>
        <v>0</v>
      </c>
      <c r="J42" s="102">
        <f t="shared" si="3"/>
        <v>0</v>
      </c>
      <c r="Q42">
        <v>908</v>
      </c>
      <c r="R42">
        <v>909</v>
      </c>
      <c r="S42">
        <v>910</v>
      </c>
    </row>
    <row r="43" spans="2:19" x14ac:dyDescent="0.3">
      <c r="B43" s="83" t="s">
        <v>68</v>
      </c>
      <c r="C43" s="84"/>
      <c r="D43" s="97">
        <v>46101</v>
      </c>
      <c r="E43" s="204">
        <f>IFERROR(_xlfn.XLOOKUP(C43,'Data CShare'!L:L,'Data CShare'!H:H),0)</f>
        <v>0</v>
      </c>
      <c r="F43" s="237">
        <f>_xlfn.XLOOKUP(C43,'Data CShare'!L:L,'Data CShare'!I:I,0)</f>
        <v>0</v>
      </c>
      <c r="G43" s="205">
        <f t="shared" si="0"/>
        <v>0</v>
      </c>
      <c r="H43" s="152">
        <f>IFERROR(SUM(E43+H42),0)</f>
        <v>0</v>
      </c>
      <c r="I43" s="150">
        <f>I42+G43</f>
        <v>0</v>
      </c>
      <c r="J43" s="102">
        <f t="shared" si="3"/>
        <v>0</v>
      </c>
      <c r="Q43">
        <v>916</v>
      </c>
      <c r="R43">
        <v>919</v>
      </c>
      <c r="S43">
        <v>922</v>
      </c>
    </row>
    <row r="44" spans="2:19" x14ac:dyDescent="0.3">
      <c r="B44" s="83" t="s">
        <v>138</v>
      </c>
      <c r="C44" s="84">
        <v>916</v>
      </c>
      <c r="D44" s="97">
        <v>46101</v>
      </c>
      <c r="E44" s="204">
        <f>IFERROR(_xlfn.XLOOKUP(C44,'Data CShare'!L:L,'Data CShare'!H:H),0)</f>
        <v>0</v>
      </c>
      <c r="F44" s="237">
        <f>_xlfn.XLOOKUP(C44,'Data CShare'!L:L,'Data CShare'!I:I,0)</f>
        <v>0</v>
      </c>
      <c r="G44" s="205">
        <f t="shared" si="0"/>
        <v>0</v>
      </c>
      <c r="H44" s="152">
        <f>IFERROR(SUM(E44+H43),0)</f>
        <v>0</v>
      </c>
      <c r="I44" s="150">
        <f t="shared" ref="I44:I46" si="6">I43+G44</f>
        <v>0</v>
      </c>
      <c r="J44" s="102">
        <f t="shared" si="3"/>
        <v>0</v>
      </c>
    </row>
    <row r="45" spans="2:19" x14ac:dyDescent="0.3">
      <c r="B45" s="83" t="s">
        <v>137</v>
      </c>
      <c r="C45" s="84">
        <v>919</v>
      </c>
      <c r="D45" s="97">
        <v>46101</v>
      </c>
      <c r="E45" s="204" cm="1">
        <f t="array" ref="E45">IFERROR(_xlfn.XLOOKUP(C45,'Data CShare'!L:L,-'Data CShare'!H:H),0)</f>
        <v>0</v>
      </c>
      <c r="F45" s="237">
        <f>_xlfn.XLOOKUP(C45,'Data CShare'!L:L,'Data CShare'!I:I,0)</f>
        <v>0</v>
      </c>
      <c r="G45" s="205">
        <f>IF(E45&gt;0,E45*F45,E45*J44)</f>
        <v>0</v>
      </c>
      <c r="H45" s="152">
        <f>IFERROR(SUM(E45+H44),0)</f>
        <v>0</v>
      </c>
      <c r="I45" s="150">
        <f t="shared" si="6"/>
        <v>0</v>
      </c>
      <c r="J45" s="102">
        <f t="shared" si="3"/>
        <v>0</v>
      </c>
    </row>
    <row r="46" spans="2:19" x14ac:dyDescent="0.3">
      <c r="B46" s="83" t="s">
        <v>139</v>
      </c>
      <c r="C46" s="84">
        <v>922</v>
      </c>
      <c r="D46" s="97">
        <v>46101</v>
      </c>
      <c r="E46" s="204">
        <f>IFERROR(_xlfn.XLOOKUP(C46,'Data CShare'!L:L,'Data CShare'!H:H),0)</f>
        <v>0</v>
      </c>
      <c r="F46" s="237">
        <f>_xlfn.XLOOKUP(C46,'Data CShare'!L:L,'Data CShare'!I:I,0)</f>
        <v>0</v>
      </c>
      <c r="G46" s="205">
        <f t="shared" si="0"/>
        <v>0</v>
      </c>
      <c r="H46" s="152">
        <f>IFERROR(SUM(E46+H45),0)</f>
        <v>0</v>
      </c>
      <c r="I46" s="150">
        <f t="shared" si="6"/>
        <v>0</v>
      </c>
      <c r="J46" s="102">
        <f t="shared" si="3"/>
        <v>0</v>
      </c>
    </row>
    <row r="51" spans="7:9" x14ac:dyDescent="0.3">
      <c r="G51" s="136" t="s">
        <v>98</v>
      </c>
      <c r="H51" s="137" t="s">
        <v>77</v>
      </c>
      <c r="I51" s="137" t="s">
        <v>78</v>
      </c>
    </row>
    <row r="52" spans="7:9" x14ac:dyDescent="0.3">
      <c r="G52" s="138" t="s">
        <v>2</v>
      </c>
      <c r="H52" s="139">
        <f>H42</f>
        <v>0</v>
      </c>
      <c r="I52" s="140">
        <f>ROUND(I42,2)</f>
        <v>0</v>
      </c>
    </row>
  </sheetData>
  <mergeCells count="14">
    <mergeCell ref="S6:S7"/>
    <mergeCell ref="Q6:Q7"/>
    <mergeCell ref="R6:R7"/>
    <mergeCell ref="B1:M1"/>
    <mergeCell ref="B5:B6"/>
    <mergeCell ref="D5:D6"/>
    <mergeCell ref="E5:E6"/>
    <mergeCell ref="G5:G6"/>
    <mergeCell ref="H5:H6"/>
    <mergeCell ref="I5:I6"/>
    <mergeCell ref="J5:J6"/>
    <mergeCell ref="L5:N5"/>
    <mergeCell ref="C5:C6"/>
    <mergeCell ref="F5:F6"/>
  </mergeCells>
  <pageMargins left="0.70866141732283472" right="0.70866141732283472" top="0.74803149606299213" bottom="0.74803149606299213" header="0.31496062992125984" footer="0.31496062992125984"/>
  <pageSetup paperSize="9" scale="39" orientation="portrait" r:id="rId1"/>
  <headerFooter>
    <oddFooter>&amp;L&amp;9&amp;KFF0000This worksheet is provided to assist you to determine and report capital gains to HMRC.   Neither PA nor Jacobs act as your agent.  You use of this sheet is at your own risk.</oddFooter>
  </headerFooter>
  <ignoredErrors>
    <ignoredError sqref="H18:H27 H29:H31 H28 H36:H38 H35 H33:H34 H32"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9C4BC-E19D-4294-98A4-A0BFB4A9340E}">
  <dimension ref="B1:D33"/>
  <sheetViews>
    <sheetView workbookViewId="0"/>
  </sheetViews>
  <sheetFormatPr defaultColWidth="8.88671875" defaultRowHeight="14.4" x14ac:dyDescent="0.3"/>
  <cols>
    <col min="1" max="1" width="5.44140625" style="217" customWidth="1"/>
    <col min="2" max="2" width="50.44140625" style="217" customWidth="1"/>
    <col min="3" max="3" width="31.109375" style="217" customWidth="1"/>
    <col min="4" max="4" width="13.5546875" style="217" customWidth="1"/>
    <col min="5" max="5" width="255" style="217" customWidth="1"/>
    <col min="6" max="16384" width="8.88671875" style="217"/>
  </cols>
  <sheetData>
    <row r="1" spans="2:4" ht="36.9" customHeight="1" x14ac:dyDescent="0.3"/>
    <row r="2" spans="2:4" x14ac:dyDescent="0.3">
      <c r="B2" s="455"/>
      <c r="C2" s="449"/>
      <c r="D2" s="218"/>
    </row>
    <row r="3" spans="2:4" x14ac:dyDescent="0.3">
      <c r="B3" s="455"/>
      <c r="C3" s="449"/>
      <c r="D3" s="219"/>
    </row>
    <row r="4" spans="2:4" x14ac:dyDescent="0.3">
      <c r="B4" s="220"/>
      <c r="C4" s="221"/>
      <c r="D4" s="222"/>
    </row>
    <row r="5" spans="2:4" x14ac:dyDescent="0.3">
      <c r="B5" s="220"/>
      <c r="C5" s="221"/>
      <c r="D5" s="222"/>
    </row>
    <row r="6" spans="2:4" x14ac:dyDescent="0.3">
      <c r="B6" s="220"/>
      <c r="C6" s="221"/>
      <c r="D6" s="222"/>
    </row>
    <row r="7" spans="2:4" x14ac:dyDescent="0.3">
      <c r="B7" s="223"/>
      <c r="C7" s="224"/>
      <c r="D7" s="225"/>
    </row>
    <row r="8" spans="2:4" x14ac:dyDescent="0.3">
      <c r="B8" s="220"/>
      <c r="C8" s="226"/>
      <c r="D8" s="222"/>
    </row>
    <row r="9" spans="2:4" x14ac:dyDescent="0.3">
      <c r="B9" s="220"/>
      <c r="C9" s="226"/>
      <c r="D9" s="222"/>
    </row>
    <row r="10" spans="2:4" x14ac:dyDescent="0.3">
      <c r="B10" s="220"/>
      <c r="C10" s="226"/>
      <c r="D10" s="222"/>
    </row>
    <row r="11" spans="2:4" x14ac:dyDescent="0.3">
      <c r="B11" s="220"/>
      <c r="C11" s="227"/>
      <c r="D11" s="228"/>
    </row>
    <row r="12" spans="2:4" x14ac:dyDescent="0.3">
      <c r="B12" s="220"/>
      <c r="C12" s="227"/>
      <c r="D12" s="228"/>
    </row>
    <row r="13" spans="2:4" x14ac:dyDescent="0.3">
      <c r="B13" s="220"/>
      <c r="C13" s="227"/>
      <c r="D13" s="228"/>
    </row>
    <row r="14" spans="2:4" x14ac:dyDescent="0.3">
      <c r="B14" s="220"/>
      <c r="C14" s="229"/>
      <c r="D14" s="228"/>
    </row>
    <row r="15" spans="2:4" x14ac:dyDescent="0.3">
      <c r="B15" s="220"/>
      <c r="C15" s="229"/>
      <c r="D15" s="228"/>
    </row>
    <row r="16" spans="2:4" x14ac:dyDescent="0.3">
      <c r="B16" s="223"/>
      <c r="C16" s="230"/>
      <c r="D16" s="231"/>
    </row>
    <row r="17" spans="2:4" x14ac:dyDescent="0.3">
      <c r="B17" s="220"/>
      <c r="C17" s="227"/>
      <c r="D17" s="228"/>
    </row>
    <row r="18" spans="2:4" x14ac:dyDescent="0.3">
      <c r="B18" s="223"/>
      <c r="C18" s="230"/>
      <c r="D18" s="231"/>
    </row>
    <row r="19" spans="2:4" x14ac:dyDescent="0.3">
      <c r="B19" s="220"/>
      <c r="C19" s="226"/>
      <c r="D19" s="228"/>
    </row>
    <row r="20" spans="2:4" x14ac:dyDescent="0.3">
      <c r="B20" s="220"/>
      <c r="C20" s="229"/>
      <c r="D20" s="228"/>
    </row>
    <row r="21" spans="2:4" x14ac:dyDescent="0.3">
      <c r="B21" s="220"/>
      <c r="C21" s="227"/>
      <c r="D21" s="228"/>
    </row>
    <row r="22" spans="2:4" x14ac:dyDescent="0.3">
      <c r="B22" s="223"/>
      <c r="C22" s="230"/>
      <c r="D22" s="231"/>
    </row>
    <row r="23" spans="2:4" x14ac:dyDescent="0.3">
      <c r="B23" s="220"/>
      <c r="C23" s="227"/>
      <c r="D23" s="228"/>
    </row>
    <row r="24" spans="2:4" x14ac:dyDescent="0.3">
      <c r="B24" s="220"/>
      <c r="C24" s="229"/>
      <c r="D24" s="228"/>
    </row>
    <row r="25" spans="2:4" x14ac:dyDescent="0.3">
      <c r="B25" s="220"/>
      <c r="C25" s="227"/>
      <c r="D25" s="228"/>
    </row>
    <row r="26" spans="2:4" x14ac:dyDescent="0.3">
      <c r="B26" s="220"/>
      <c r="C26" s="229"/>
      <c r="D26" s="228"/>
    </row>
    <row r="27" spans="2:4" x14ac:dyDescent="0.3">
      <c r="B27" s="220"/>
      <c r="C27" s="227"/>
      <c r="D27" s="228"/>
    </row>
    <row r="28" spans="2:4" x14ac:dyDescent="0.3">
      <c r="B28" s="223"/>
      <c r="C28" s="230"/>
      <c r="D28" s="231"/>
    </row>
    <row r="29" spans="2:4" ht="49.95" customHeight="1" x14ac:dyDescent="0.3">
      <c r="B29" s="232"/>
      <c r="C29" s="233"/>
      <c r="D29" s="222"/>
    </row>
    <row r="30" spans="2:4" x14ac:dyDescent="0.3">
      <c r="B30" s="234"/>
      <c r="C30" s="235"/>
      <c r="D30" s="236"/>
    </row>
    <row r="31" spans="2:4" ht="0" hidden="1" customHeight="1" x14ac:dyDescent="0.3"/>
    <row r="32" spans="2:4" ht="45" customHeight="1" x14ac:dyDescent="0.3"/>
    <row r="33" spans="3:3" x14ac:dyDescent="0.3">
      <c r="C33" s="23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C1433-4FAD-4D5E-B7EC-6FEFC030422E}">
  <dimension ref="A1:AP64"/>
  <sheetViews>
    <sheetView workbookViewId="0">
      <selection activeCell="D64" sqref="D64"/>
    </sheetView>
  </sheetViews>
  <sheetFormatPr defaultColWidth="8.88671875" defaultRowHeight="14.4" x14ac:dyDescent="0.3"/>
  <cols>
    <col min="1" max="1" width="5.44140625" style="217" customWidth="1"/>
    <col min="2" max="2" width="13.33203125" style="217" customWidth="1"/>
    <col min="3" max="3" width="20.6640625" style="217" customWidth="1"/>
    <col min="4" max="4" width="17.33203125" style="217" customWidth="1"/>
    <col min="5" max="5" width="20.5546875" style="217" customWidth="1"/>
    <col min="6" max="6" width="20.88671875" style="217" customWidth="1"/>
    <col min="7" max="7" width="18.6640625" style="217" customWidth="1"/>
    <col min="8" max="8" width="24.88671875" style="217" customWidth="1"/>
    <col min="9" max="9" width="21.6640625" style="217" customWidth="1"/>
    <col min="10" max="10" width="30.88671875" style="217" customWidth="1"/>
    <col min="11" max="11" width="19.109375" style="217" customWidth="1"/>
    <col min="12" max="12" width="32.6640625" style="217" customWidth="1"/>
    <col min="13" max="13" width="23.6640625" style="217" customWidth="1"/>
    <col min="14" max="14" width="13.44140625" style="217" customWidth="1"/>
    <col min="15" max="15" width="30.5546875" style="217" customWidth="1"/>
    <col min="16" max="16" width="31.6640625" style="217" customWidth="1"/>
    <col min="17" max="17" width="39.44140625" style="217" customWidth="1"/>
    <col min="18" max="18" width="26.88671875" style="217" customWidth="1"/>
    <col min="19" max="20" width="14.33203125" style="217" customWidth="1"/>
    <col min="21" max="21" width="255" style="217" customWidth="1"/>
    <col min="22" max="16384" width="8.88671875" style="217"/>
  </cols>
  <sheetData>
    <row r="1" spans="1:42" ht="25.2" customHeight="1" x14ac:dyDescent="0.3">
      <c r="A1" s="540"/>
      <c r="B1" s="540"/>
      <c r="C1" s="540"/>
      <c r="D1" s="540"/>
      <c r="E1" s="540"/>
      <c r="F1" s="540"/>
      <c r="G1" s="540"/>
      <c r="H1" s="540"/>
      <c r="I1" s="540"/>
      <c r="J1" s="540"/>
      <c r="K1" s="540"/>
      <c r="L1" s="540"/>
      <c r="M1" s="540"/>
      <c r="N1" s="540"/>
      <c r="O1" s="540"/>
      <c r="P1" s="540"/>
      <c r="Q1" s="540"/>
      <c r="R1" s="540"/>
      <c r="S1" s="540"/>
      <c r="T1" s="540"/>
      <c r="U1" s="540"/>
      <c r="V1" s="540"/>
      <c r="W1" s="540"/>
      <c r="X1" s="540"/>
      <c r="Y1" s="540"/>
      <c r="Z1" s="540"/>
      <c r="AA1" s="540"/>
      <c r="AB1" s="540"/>
      <c r="AC1" s="540"/>
      <c r="AD1" s="540"/>
      <c r="AE1" s="540"/>
      <c r="AF1" s="540"/>
      <c r="AG1" s="540"/>
      <c r="AH1" s="540"/>
      <c r="AI1" s="540"/>
      <c r="AJ1" s="540"/>
      <c r="AK1" s="540"/>
      <c r="AL1" s="540"/>
      <c r="AM1" s="540"/>
      <c r="AN1" s="540"/>
      <c r="AO1" s="540"/>
      <c r="AP1" s="540"/>
    </row>
    <row r="2" spans="1:42" ht="15.6" x14ac:dyDescent="0.3">
      <c r="A2" s="540"/>
      <c r="B2" s="448"/>
      <c r="C2" s="449"/>
      <c r="D2" s="449"/>
      <c r="E2" s="449"/>
      <c r="F2" s="449"/>
      <c r="G2" s="449"/>
      <c r="H2" s="449"/>
      <c r="I2" s="450"/>
      <c r="J2" s="541"/>
      <c r="K2" s="541"/>
      <c r="L2" s="541"/>
      <c r="M2" s="541"/>
      <c r="N2" s="541"/>
      <c r="O2" s="541"/>
      <c r="P2" s="541"/>
      <c r="Q2" s="541"/>
      <c r="R2" s="541"/>
      <c r="S2" s="541"/>
      <c r="T2" s="541"/>
      <c r="U2" s="540"/>
      <c r="V2" s="540"/>
      <c r="W2" s="540"/>
      <c r="X2" s="540"/>
      <c r="Y2" s="540"/>
      <c r="Z2" s="540"/>
      <c r="AA2" s="540"/>
      <c r="AB2" s="540"/>
      <c r="AC2" s="540"/>
      <c r="AD2" s="540"/>
      <c r="AE2" s="540"/>
      <c r="AF2" s="540"/>
      <c r="AG2" s="540"/>
      <c r="AH2" s="540"/>
      <c r="AI2" s="540"/>
      <c r="AJ2" s="540"/>
      <c r="AK2" s="540"/>
      <c r="AL2" s="540"/>
      <c r="AM2" s="540"/>
      <c r="AN2" s="540"/>
      <c r="AO2" s="540"/>
      <c r="AP2" s="540"/>
    </row>
    <row r="3" spans="1:42" x14ac:dyDescent="0.3">
      <c r="A3" s="540"/>
      <c r="B3" s="456"/>
      <c r="C3" s="457"/>
      <c r="D3" s="457"/>
      <c r="E3" s="457"/>
      <c r="F3" s="457"/>
      <c r="G3" s="457"/>
      <c r="H3" s="457"/>
      <c r="I3" s="457"/>
      <c r="J3" s="542"/>
      <c r="K3" s="542"/>
      <c r="L3" s="542"/>
      <c r="M3" s="542"/>
      <c r="N3" s="542"/>
      <c r="O3" s="542"/>
      <c r="P3" s="542"/>
      <c r="Q3" s="542"/>
      <c r="R3" s="542"/>
      <c r="S3" s="542"/>
      <c r="T3" s="542"/>
      <c r="U3" s="540"/>
      <c r="V3" s="540"/>
      <c r="W3" s="540"/>
      <c r="X3" s="540"/>
      <c r="Y3" s="540"/>
      <c r="Z3" s="540"/>
      <c r="AA3" s="540"/>
      <c r="AB3" s="540"/>
      <c r="AC3" s="540"/>
      <c r="AD3" s="540"/>
      <c r="AE3" s="540"/>
      <c r="AF3" s="540"/>
      <c r="AG3" s="540"/>
      <c r="AH3" s="540"/>
      <c r="AI3" s="540"/>
      <c r="AJ3" s="540"/>
      <c r="AK3" s="540"/>
      <c r="AL3" s="540"/>
      <c r="AM3" s="540"/>
      <c r="AN3" s="540"/>
      <c r="AO3" s="540"/>
      <c r="AP3" s="540"/>
    </row>
    <row r="4" spans="1:42" x14ac:dyDescent="0.3">
      <c r="A4" s="540"/>
      <c r="B4" s="543"/>
      <c r="C4" s="543"/>
      <c r="D4" s="543"/>
      <c r="E4" s="543"/>
      <c r="F4" s="543"/>
      <c r="G4" s="543"/>
      <c r="H4" s="543"/>
      <c r="I4" s="543"/>
      <c r="J4" s="543"/>
      <c r="K4" s="543"/>
      <c r="L4" s="543"/>
      <c r="M4" s="543"/>
      <c r="N4" s="543"/>
      <c r="O4" s="543"/>
      <c r="P4" s="543"/>
      <c r="Q4" s="543"/>
      <c r="R4" s="543"/>
      <c r="S4" s="543"/>
      <c r="T4" s="543"/>
      <c r="U4" s="540"/>
      <c r="V4" s="540"/>
      <c r="W4" s="540"/>
      <c r="X4" s="540"/>
      <c r="Y4" s="540"/>
      <c r="Z4" s="540"/>
      <c r="AA4" s="540"/>
      <c r="AB4" s="540"/>
      <c r="AC4" s="540"/>
      <c r="AD4" s="540"/>
      <c r="AE4" s="540"/>
      <c r="AF4" s="540"/>
      <c r="AG4" s="540"/>
      <c r="AH4" s="540"/>
      <c r="AI4" s="540"/>
      <c r="AJ4" s="540"/>
      <c r="AK4" s="540"/>
      <c r="AL4" s="540"/>
      <c r="AM4" s="540"/>
      <c r="AN4" s="540"/>
      <c r="AO4" s="540"/>
      <c r="AP4" s="540"/>
    </row>
    <row r="5" spans="1:42" x14ac:dyDescent="0.3">
      <c r="A5" s="540"/>
      <c r="B5" s="544"/>
      <c r="C5" s="545"/>
      <c r="D5" s="545"/>
      <c r="E5" s="545"/>
      <c r="F5" s="545"/>
      <c r="G5" s="545"/>
      <c r="H5" s="545"/>
      <c r="I5" s="545"/>
      <c r="J5" s="545"/>
      <c r="K5" s="545"/>
      <c r="L5" s="545"/>
      <c r="M5" s="545"/>
      <c r="N5" s="545"/>
      <c r="O5" s="545"/>
      <c r="P5" s="546"/>
      <c r="Q5" s="545"/>
      <c r="R5" s="545"/>
      <c r="S5" s="545"/>
      <c r="T5" s="547"/>
      <c r="U5" s="540"/>
      <c r="V5" s="540"/>
      <c r="W5" s="540"/>
      <c r="X5" s="540"/>
      <c r="Y5" s="540"/>
      <c r="Z5" s="540"/>
      <c r="AA5" s="540"/>
      <c r="AB5" s="540"/>
      <c r="AC5" s="540"/>
      <c r="AD5" s="540"/>
      <c r="AE5" s="540"/>
      <c r="AF5" s="540"/>
      <c r="AG5" s="540"/>
      <c r="AH5" s="540"/>
      <c r="AI5" s="540"/>
      <c r="AJ5" s="540"/>
      <c r="AK5" s="540"/>
      <c r="AL5" s="540"/>
      <c r="AM5" s="540"/>
      <c r="AN5" s="540"/>
      <c r="AO5" s="540"/>
      <c r="AP5" s="540"/>
    </row>
    <row r="6" spans="1:42" x14ac:dyDescent="0.3">
      <c r="A6" s="540"/>
      <c r="B6" s="548"/>
      <c r="C6" s="548"/>
      <c r="D6" s="548"/>
      <c r="E6" s="549"/>
      <c r="F6" s="548"/>
      <c r="G6" s="550"/>
      <c r="H6" s="550"/>
      <c r="I6" s="551"/>
      <c r="J6" s="551"/>
      <c r="K6" s="552"/>
      <c r="L6" s="552"/>
      <c r="M6" s="553"/>
      <c r="N6" s="551"/>
      <c r="O6" s="552"/>
      <c r="P6" s="552"/>
      <c r="Q6" s="552"/>
      <c r="R6" s="551"/>
      <c r="S6" s="554"/>
      <c r="T6" s="554"/>
      <c r="U6" s="540"/>
      <c r="V6" s="540"/>
      <c r="W6" s="540"/>
      <c r="X6" s="540"/>
      <c r="Y6" s="540"/>
      <c r="Z6" s="540"/>
      <c r="AA6" s="540"/>
      <c r="AB6" s="540"/>
      <c r="AC6" s="540"/>
      <c r="AD6" s="540"/>
      <c r="AE6" s="540"/>
      <c r="AF6" s="540"/>
      <c r="AG6" s="540"/>
      <c r="AH6" s="540"/>
      <c r="AI6" s="540"/>
      <c r="AJ6" s="540"/>
      <c r="AK6" s="540"/>
      <c r="AL6" s="540"/>
      <c r="AM6" s="540"/>
      <c r="AN6" s="540"/>
      <c r="AO6" s="540"/>
      <c r="AP6" s="540"/>
    </row>
    <row r="7" spans="1:42" x14ac:dyDescent="0.3">
      <c r="A7" s="540"/>
      <c r="B7" s="548"/>
      <c r="C7" s="548"/>
      <c r="D7" s="548"/>
      <c r="E7" s="549"/>
      <c r="F7" s="548"/>
      <c r="G7" s="550"/>
      <c r="H7" s="550"/>
      <c r="I7" s="551"/>
      <c r="J7" s="551"/>
      <c r="K7" s="552"/>
      <c r="L7" s="552"/>
      <c r="M7" s="553"/>
      <c r="N7" s="551"/>
      <c r="O7" s="552"/>
      <c r="P7" s="552"/>
      <c r="Q7" s="552"/>
      <c r="R7" s="551"/>
      <c r="S7" s="554"/>
      <c r="T7" s="554"/>
      <c r="U7" s="540"/>
      <c r="V7" s="540"/>
      <c r="W7" s="540"/>
      <c r="X7" s="540"/>
      <c r="Y7" s="540"/>
      <c r="Z7" s="540"/>
      <c r="AA7" s="540"/>
      <c r="AB7" s="540"/>
      <c r="AC7" s="540"/>
      <c r="AD7" s="540"/>
      <c r="AE7" s="540"/>
      <c r="AF7" s="540"/>
      <c r="AG7" s="540"/>
      <c r="AH7" s="540"/>
      <c r="AI7" s="540"/>
      <c r="AJ7" s="540"/>
      <c r="AK7" s="540"/>
      <c r="AL7" s="540"/>
      <c r="AM7" s="540"/>
      <c r="AN7" s="540"/>
      <c r="AO7" s="540"/>
      <c r="AP7" s="540"/>
    </row>
    <row r="8" spans="1:42" x14ac:dyDescent="0.3">
      <c r="A8" s="540"/>
      <c r="B8" s="548"/>
      <c r="C8" s="548"/>
      <c r="D8" s="548"/>
      <c r="E8" s="549"/>
      <c r="F8" s="548"/>
      <c r="G8" s="550"/>
      <c r="H8" s="550"/>
      <c r="I8" s="551"/>
      <c r="J8" s="551"/>
      <c r="K8" s="552"/>
      <c r="L8" s="552"/>
      <c r="M8" s="553"/>
      <c r="N8" s="551"/>
      <c r="O8" s="552"/>
      <c r="P8" s="552"/>
      <c r="Q8" s="552"/>
      <c r="R8" s="551"/>
      <c r="S8" s="554"/>
      <c r="T8" s="554"/>
      <c r="U8" s="540"/>
      <c r="V8" s="540"/>
      <c r="W8" s="540"/>
      <c r="X8" s="540"/>
      <c r="Y8" s="540"/>
      <c r="Z8" s="540"/>
      <c r="AA8" s="540"/>
      <c r="AB8" s="540"/>
      <c r="AC8" s="540"/>
      <c r="AD8" s="540"/>
      <c r="AE8" s="540"/>
      <c r="AF8" s="540"/>
      <c r="AG8" s="540"/>
      <c r="AH8" s="540"/>
      <c r="AI8" s="540"/>
      <c r="AJ8" s="540"/>
      <c r="AK8" s="540"/>
      <c r="AL8" s="540"/>
      <c r="AM8" s="540"/>
      <c r="AN8" s="540"/>
      <c r="AO8" s="540"/>
      <c r="AP8" s="540"/>
    </row>
    <row r="9" spans="1:42" x14ac:dyDescent="0.3">
      <c r="A9" s="540"/>
      <c r="B9" s="548"/>
      <c r="C9" s="548"/>
      <c r="D9" s="548"/>
      <c r="E9" s="549"/>
      <c r="F9" s="548"/>
      <c r="G9" s="550"/>
      <c r="H9" s="550"/>
      <c r="I9" s="551"/>
      <c r="J9" s="551"/>
      <c r="K9" s="552"/>
      <c r="L9" s="552"/>
      <c r="M9" s="553"/>
      <c r="N9" s="551"/>
      <c r="O9" s="552"/>
      <c r="P9" s="552"/>
      <c r="Q9" s="552"/>
      <c r="R9" s="551"/>
      <c r="S9" s="554"/>
      <c r="T9" s="554"/>
      <c r="U9" s="540"/>
      <c r="V9" s="540"/>
      <c r="W9" s="540"/>
      <c r="X9" s="540"/>
      <c r="Y9" s="540"/>
      <c r="Z9" s="540"/>
      <c r="AA9" s="540"/>
      <c r="AB9" s="540"/>
      <c r="AC9" s="540"/>
      <c r="AD9" s="540"/>
      <c r="AE9" s="540"/>
      <c r="AF9" s="540"/>
      <c r="AG9" s="540"/>
      <c r="AH9" s="540"/>
      <c r="AI9" s="540"/>
      <c r="AJ9" s="540"/>
      <c r="AK9" s="540"/>
      <c r="AL9" s="540"/>
      <c r="AM9" s="540"/>
      <c r="AN9" s="540"/>
      <c r="AO9" s="540"/>
      <c r="AP9" s="540"/>
    </row>
    <row r="10" spans="1:42" x14ac:dyDescent="0.3">
      <c r="A10" s="540"/>
      <c r="B10" s="548"/>
      <c r="C10" s="548"/>
      <c r="D10" s="548"/>
      <c r="E10" s="549"/>
      <c r="F10" s="548"/>
      <c r="G10" s="550"/>
      <c r="H10" s="550"/>
      <c r="I10" s="551"/>
      <c r="J10" s="551"/>
      <c r="K10" s="552"/>
      <c r="L10" s="552"/>
      <c r="M10" s="553"/>
      <c r="N10" s="551"/>
      <c r="O10" s="552"/>
      <c r="P10" s="552"/>
      <c r="Q10" s="552"/>
      <c r="R10" s="551"/>
      <c r="S10" s="554"/>
      <c r="T10" s="554"/>
      <c r="U10" s="540"/>
      <c r="V10" s="540"/>
      <c r="W10" s="540"/>
      <c r="X10" s="540"/>
      <c r="Y10" s="540"/>
      <c r="Z10" s="540"/>
      <c r="AA10" s="540"/>
      <c r="AB10" s="540"/>
      <c r="AC10" s="540"/>
      <c r="AD10" s="540"/>
      <c r="AE10" s="540"/>
      <c r="AF10" s="540"/>
      <c r="AG10" s="540"/>
      <c r="AH10" s="540"/>
      <c r="AI10" s="540"/>
      <c r="AJ10" s="540"/>
      <c r="AK10" s="540"/>
      <c r="AL10" s="540"/>
      <c r="AM10" s="540"/>
      <c r="AN10" s="540"/>
      <c r="AO10" s="540"/>
      <c r="AP10" s="540"/>
    </row>
    <row r="11" spans="1:42" x14ac:dyDescent="0.3">
      <c r="A11" s="540"/>
      <c r="B11" s="548"/>
      <c r="C11" s="548"/>
      <c r="D11" s="548"/>
      <c r="E11" s="549"/>
      <c r="F11" s="548"/>
      <c r="G11" s="550"/>
      <c r="H11" s="550"/>
      <c r="I11" s="551"/>
      <c r="J11" s="551"/>
      <c r="K11" s="552"/>
      <c r="L11" s="552"/>
      <c r="M11" s="553"/>
      <c r="N11" s="551"/>
      <c r="O11" s="552"/>
      <c r="P11" s="552"/>
      <c r="Q11" s="552"/>
      <c r="R11" s="551"/>
      <c r="S11" s="554"/>
      <c r="T11" s="554"/>
      <c r="U11" s="540"/>
      <c r="V11" s="540"/>
      <c r="W11" s="540"/>
      <c r="X11" s="540"/>
      <c r="Y11" s="540"/>
      <c r="Z11" s="540"/>
      <c r="AA11" s="540"/>
      <c r="AB11" s="540"/>
      <c r="AC11" s="540"/>
      <c r="AD11" s="540"/>
      <c r="AE11" s="540"/>
      <c r="AF11" s="540"/>
      <c r="AG11" s="540"/>
      <c r="AH11" s="540"/>
      <c r="AI11" s="540"/>
      <c r="AJ11" s="540"/>
      <c r="AK11" s="540"/>
      <c r="AL11" s="540"/>
      <c r="AM11" s="540"/>
      <c r="AN11" s="540"/>
      <c r="AO11" s="540"/>
      <c r="AP11" s="540"/>
    </row>
    <row r="12" spans="1:42" x14ac:dyDescent="0.3">
      <c r="A12" s="540"/>
      <c r="B12" s="548"/>
      <c r="C12" s="548"/>
      <c r="D12" s="548"/>
      <c r="E12" s="549"/>
      <c r="F12" s="548"/>
      <c r="G12" s="550"/>
      <c r="H12" s="550"/>
      <c r="I12" s="551"/>
      <c r="J12" s="551"/>
      <c r="K12" s="552"/>
      <c r="L12" s="552"/>
      <c r="M12" s="553"/>
      <c r="N12" s="551"/>
      <c r="O12" s="552"/>
      <c r="P12" s="552"/>
      <c r="Q12" s="552"/>
      <c r="R12" s="551"/>
      <c r="S12" s="554"/>
      <c r="T12" s="554"/>
      <c r="U12" s="540"/>
      <c r="V12" s="540"/>
      <c r="W12" s="540"/>
      <c r="X12" s="540"/>
      <c r="Y12" s="540"/>
      <c r="Z12" s="540"/>
      <c r="AA12" s="540"/>
      <c r="AB12" s="540"/>
      <c r="AC12" s="540"/>
      <c r="AD12" s="540"/>
      <c r="AE12" s="540"/>
      <c r="AF12" s="540"/>
      <c r="AG12" s="540"/>
      <c r="AH12" s="540"/>
      <c r="AI12" s="540"/>
      <c r="AJ12" s="540"/>
      <c r="AK12" s="540"/>
      <c r="AL12" s="540"/>
      <c r="AM12" s="540"/>
      <c r="AN12" s="540"/>
      <c r="AO12" s="540"/>
      <c r="AP12" s="540"/>
    </row>
    <row r="13" spans="1:42" x14ac:dyDescent="0.3">
      <c r="A13" s="540"/>
      <c r="B13" s="548"/>
      <c r="C13" s="548"/>
      <c r="D13" s="548"/>
      <c r="E13" s="549"/>
      <c r="F13" s="548"/>
      <c r="G13" s="550"/>
      <c r="H13" s="550"/>
      <c r="I13" s="551"/>
      <c r="J13" s="551"/>
      <c r="K13" s="552"/>
      <c r="L13" s="552"/>
      <c r="M13" s="553"/>
      <c r="N13" s="551"/>
      <c r="O13" s="552"/>
      <c r="P13" s="552"/>
      <c r="Q13" s="552"/>
      <c r="R13" s="551"/>
      <c r="S13" s="554"/>
      <c r="T13" s="554"/>
      <c r="U13" s="540"/>
      <c r="V13" s="540"/>
      <c r="W13" s="540"/>
      <c r="X13" s="540"/>
      <c r="Y13" s="540"/>
      <c r="Z13" s="540"/>
      <c r="AA13" s="540"/>
      <c r="AB13" s="540"/>
      <c r="AC13" s="540"/>
      <c r="AD13" s="540"/>
      <c r="AE13" s="540"/>
      <c r="AF13" s="540"/>
      <c r="AG13" s="540"/>
      <c r="AH13" s="540"/>
      <c r="AI13" s="540"/>
      <c r="AJ13" s="540"/>
      <c r="AK13" s="540"/>
      <c r="AL13" s="540"/>
      <c r="AM13" s="540"/>
      <c r="AN13" s="540"/>
      <c r="AO13" s="540"/>
      <c r="AP13" s="540"/>
    </row>
    <row r="14" spans="1:42" x14ac:dyDescent="0.3">
      <c r="A14" s="540"/>
      <c r="B14" s="548"/>
      <c r="C14" s="548"/>
      <c r="D14" s="548"/>
      <c r="E14" s="549"/>
      <c r="F14" s="548"/>
      <c r="G14" s="550"/>
      <c r="H14" s="550"/>
      <c r="I14" s="551"/>
      <c r="J14" s="551"/>
      <c r="K14" s="552"/>
      <c r="L14" s="552"/>
      <c r="M14" s="553"/>
      <c r="N14" s="551"/>
      <c r="O14" s="552"/>
      <c r="P14" s="552"/>
      <c r="Q14" s="552"/>
      <c r="R14" s="551"/>
      <c r="S14" s="554"/>
      <c r="T14" s="554"/>
      <c r="U14" s="540"/>
      <c r="V14" s="540"/>
      <c r="W14" s="540"/>
      <c r="X14" s="540"/>
      <c r="Y14" s="540"/>
      <c r="Z14" s="540"/>
      <c r="AA14" s="540"/>
      <c r="AB14" s="540"/>
      <c r="AC14" s="540"/>
      <c r="AD14" s="540"/>
      <c r="AE14" s="540"/>
      <c r="AF14" s="540"/>
      <c r="AG14" s="540"/>
      <c r="AH14" s="540"/>
      <c r="AI14" s="540"/>
      <c r="AJ14" s="540"/>
      <c r="AK14" s="540"/>
      <c r="AL14" s="540"/>
      <c r="AM14" s="540"/>
      <c r="AN14" s="540"/>
      <c r="AO14" s="540"/>
      <c r="AP14" s="540"/>
    </row>
    <row r="15" spans="1:42" x14ac:dyDescent="0.3">
      <c r="A15" s="540"/>
      <c r="B15" s="548"/>
      <c r="C15" s="548"/>
      <c r="D15" s="548"/>
      <c r="E15" s="549"/>
      <c r="F15" s="548"/>
      <c r="G15" s="550"/>
      <c r="H15" s="550"/>
      <c r="I15" s="551"/>
      <c r="J15" s="551"/>
      <c r="K15" s="552"/>
      <c r="L15" s="552"/>
      <c r="M15" s="553"/>
      <c r="N15" s="551"/>
      <c r="O15" s="552"/>
      <c r="P15" s="552"/>
      <c r="Q15" s="552"/>
      <c r="R15" s="551"/>
      <c r="S15" s="554"/>
      <c r="T15" s="554"/>
      <c r="U15" s="540"/>
      <c r="V15" s="540"/>
      <c r="W15" s="540"/>
      <c r="X15" s="540"/>
      <c r="Y15" s="540"/>
      <c r="Z15" s="540"/>
      <c r="AA15" s="540"/>
      <c r="AB15" s="540"/>
      <c r="AC15" s="540"/>
      <c r="AD15" s="540"/>
      <c r="AE15" s="540"/>
      <c r="AF15" s="540"/>
      <c r="AG15" s="540"/>
      <c r="AH15" s="540"/>
      <c r="AI15" s="540"/>
      <c r="AJ15" s="540"/>
      <c r="AK15" s="540"/>
      <c r="AL15" s="540"/>
      <c r="AM15" s="540"/>
      <c r="AN15" s="540"/>
      <c r="AO15" s="540"/>
      <c r="AP15" s="540"/>
    </row>
    <row r="16" spans="1:42" x14ac:dyDescent="0.3">
      <c r="A16" s="540"/>
      <c r="B16" s="548"/>
      <c r="C16" s="548"/>
      <c r="D16" s="548"/>
      <c r="E16" s="549"/>
      <c r="F16" s="548"/>
      <c r="G16" s="550"/>
      <c r="H16" s="550"/>
      <c r="I16" s="551"/>
      <c r="J16" s="551"/>
      <c r="K16" s="552"/>
      <c r="L16" s="552"/>
      <c r="M16" s="553"/>
      <c r="N16" s="551"/>
      <c r="O16" s="552"/>
      <c r="P16" s="552"/>
      <c r="Q16" s="552"/>
      <c r="R16" s="551"/>
      <c r="S16" s="554"/>
      <c r="T16" s="554"/>
      <c r="U16" s="540"/>
      <c r="V16" s="540"/>
      <c r="W16" s="540"/>
      <c r="X16" s="540"/>
      <c r="Y16" s="540"/>
      <c r="Z16" s="540"/>
      <c r="AA16" s="540"/>
      <c r="AB16" s="540"/>
      <c r="AC16" s="540"/>
      <c r="AD16" s="540"/>
      <c r="AE16" s="540"/>
      <c r="AF16" s="540"/>
      <c r="AG16" s="540"/>
      <c r="AH16" s="540"/>
      <c r="AI16" s="540"/>
      <c r="AJ16" s="540"/>
      <c r="AK16" s="540"/>
      <c r="AL16" s="540"/>
      <c r="AM16" s="540"/>
      <c r="AN16" s="540"/>
      <c r="AO16" s="540"/>
      <c r="AP16" s="540"/>
    </row>
    <row r="17" spans="1:42" x14ac:dyDescent="0.3">
      <c r="A17" s="540"/>
      <c r="B17" s="548"/>
      <c r="C17" s="548"/>
      <c r="D17" s="548"/>
      <c r="E17" s="549"/>
      <c r="F17" s="548"/>
      <c r="G17" s="550"/>
      <c r="H17" s="550"/>
      <c r="I17" s="551"/>
      <c r="J17" s="551"/>
      <c r="K17" s="552"/>
      <c r="L17" s="552"/>
      <c r="M17" s="553"/>
      <c r="N17" s="551"/>
      <c r="O17" s="552"/>
      <c r="P17" s="552"/>
      <c r="Q17" s="552"/>
      <c r="R17" s="551"/>
      <c r="S17" s="554"/>
      <c r="T17" s="554"/>
      <c r="U17" s="540"/>
      <c r="V17" s="540"/>
      <c r="W17" s="540"/>
      <c r="X17" s="540"/>
      <c r="Y17" s="540"/>
      <c r="Z17" s="540"/>
      <c r="AA17" s="540"/>
      <c r="AB17" s="540"/>
      <c r="AC17" s="540"/>
      <c r="AD17" s="540"/>
      <c r="AE17" s="540"/>
      <c r="AF17" s="540"/>
      <c r="AG17" s="540"/>
      <c r="AH17" s="540"/>
      <c r="AI17" s="540"/>
      <c r="AJ17" s="540"/>
      <c r="AK17" s="540"/>
      <c r="AL17" s="540"/>
      <c r="AM17" s="540"/>
      <c r="AN17" s="540"/>
      <c r="AO17" s="540"/>
      <c r="AP17" s="540"/>
    </row>
    <row r="18" spans="1:42" x14ac:dyDescent="0.3">
      <c r="A18" s="540"/>
      <c r="B18" s="548"/>
      <c r="C18" s="548"/>
      <c r="D18" s="548"/>
      <c r="E18" s="549"/>
      <c r="F18" s="548"/>
      <c r="G18" s="550"/>
      <c r="H18" s="550"/>
      <c r="I18" s="551"/>
      <c r="J18" s="551"/>
      <c r="K18" s="552"/>
      <c r="L18" s="552"/>
      <c r="M18" s="553"/>
      <c r="N18" s="551"/>
      <c r="O18" s="552"/>
      <c r="P18" s="552"/>
      <c r="Q18" s="552"/>
      <c r="R18" s="551"/>
      <c r="S18" s="554"/>
      <c r="T18" s="554"/>
      <c r="U18" s="540"/>
      <c r="V18" s="540"/>
      <c r="W18" s="540"/>
      <c r="X18" s="540"/>
      <c r="Y18" s="540"/>
      <c r="Z18" s="540"/>
      <c r="AA18" s="540"/>
      <c r="AB18" s="540"/>
      <c r="AC18" s="540"/>
      <c r="AD18" s="540"/>
      <c r="AE18" s="540"/>
      <c r="AF18" s="540"/>
      <c r="AG18" s="540"/>
      <c r="AH18" s="540"/>
      <c r="AI18" s="540"/>
      <c r="AJ18" s="540"/>
      <c r="AK18" s="540"/>
      <c r="AL18" s="540"/>
      <c r="AM18" s="540"/>
      <c r="AN18" s="540"/>
      <c r="AO18" s="540"/>
      <c r="AP18" s="540"/>
    </row>
    <row r="19" spans="1:42" x14ac:dyDescent="0.3">
      <c r="A19" s="540"/>
      <c r="B19" s="548"/>
      <c r="C19" s="548"/>
      <c r="D19" s="548"/>
      <c r="E19" s="549"/>
      <c r="F19" s="548"/>
      <c r="G19" s="550"/>
      <c r="H19" s="550"/>
      <c r="I19" s="551"/>
      <c r="J19" s="551"/>
      <c r="K19" s="552"/>
      <c r="L19" s="552"/>
      <c r="M19" s="553"/>
      <c r="N19" s="551"/>
      <c r="O19" s="552"/>
      <c r="P19" s="552"/>
      <c r="Q19" s="552"/>
      <c r="R19" s="551"/>
      <c r="S19" s="554"/>
      <c r="T19" s="554"/>
      <c r="U19" s="540"/>
      <c r="V19" s="540"/>
      <c r="W19" s="540"/>
      <c r="X19" s="540"/>
      <c r="Y19" s="540"/>
      <c r="Z19" s="540"/>
      <c r="AA19" s="540"/>
      <c r="AB19" s="540"/>
      <c r="AC19" s="540"/>
      <c r="AD19" s="540"/>
      <c r="AE19" s="540"/>
      <c r="AF19" s="540"/>
      <c r="AG19" s="540"/>
      <c r="AH19" s="540"/>
      <c r="AI19" s="540"/>
      <c r="AJ19" s="540"/>
      <c r="AK19" s="540"/>
      <c r="AL19" s="540"/>
      <c r="AM19" s="540"/>
      <c r="AN19" s="540"/>
      <c r="AO19" s="540"/>
      <c r="AP19" s="540"/>
    </row>
    <row r="20" spans="1:42" x14ac:dyDescent="0.3">
      <c r="A20" s="540"/>
      <c r="B20" s="548"/>
      <c r="C20" s="548"/>
      <c r="D20" s="548"/>
      <c r="E20" s="549"/>
      <c r="F20" s="548"/>
      <c r="G20" s="550"/>
      <c r="H20" s="550"/>
      <c r="I20" s="551"/>
      <c r="J20" s="551"/>
      <c r="K20" s="552"/>
      <c r="L20" s="552"/>
      <c r="M20" s="553"/>
      <c r="N20" s="551"/>
      <c r="O20" s="552"/>
      <c r="P20" s="552"/>
      <c r="Q20" s="552"/>
      <c r="R20" s="551"/>
      <c r="S20" s="554"/>
      <c r="T20" s="554"/>
      <c r="U20" s="540"/>
      <c r="V20" s="540"/>
      <c r="W20" s="540"/>
      <c r="X20" s="540"/>
      <c r="Y20" s="540"/>
      <c r="Z20" s="540"/>
      <c r="AA20" s="540"/>
      <c r="AB20" s="540"/>
      <c r="AC20" s="540"/>
      <c r="AD20" s="540"/>
      <c r="AE20" s="540"/>
      <c r="AF20" s="540"/>
      <c r="AG20" s="540"/>
      <c r="AH20" s="540"/>
      <c r="AI20" s="540"/>
      <c r="AJ20" s="540"/>
      <c r="AK20" s="540"/>
      <c r="AL20" s="540"/>
      <c r="AM20" s="540"/>
      <c r="AN20" s="540"/>
      <c r="AO20" s="540"/>
      <c r="AP20" s="540"/>
    </row>
    <row r="21" spans="1:42" x14ac:dyDescent="0.3">
      <c r="A21" s="540"/>
      <c r="B21" s="548"/>
      <c r="C21" s="548"/>
      <c r="D21" s="548"/>
      <c r="E21" s="549"/>
      <c r="F21" s="548"/>
      <c r="G21" s="550"/>
      <c r="H21" s="550"/>
      <c r="I21" s="551"/>
      <c r="J21" s="551"/>
      <c r="K21" s="552"/>
      <c r="L21" s="552"/>
      <c r="M21" s="553"/>
      <c r="N21" s="551"/>
      <c r="O21" s="552"/>
      <c r="P21" s="552"/>
      <c r="Q21" s="552"/>
      <c r="R21" s="551"/>
      <c r="S21" s="554"/>
      <c r="T21" s="554"/>
      <c r="U21" s="540"/>
      <c r="V21" s="540"/>
      <c r="W21" s="540"/>
      <c r="X21" s="540"/>
      <c r="Y21" s="540"/>
      <c r="Z21" s="540"/>
      <c r="AA21" s="540"/>
      <c r="AB21" s="540"/>
      <c r="AC21" s="540"/>
      <c r="AD21" s="540"/>
      <c r="AE21" s="540"/>
      <c r="AF21" s="540"/>
      <c r="AG21" s="540"/>
      <c r="AH21" s="540"/>
      <c r="AI21" s="540"/>
      <c r="AJ21" s="540"/>
      <c r="AK21" s="540"/>
      <c r="AL21" s="540"/>
      <c r="AM21" s="540"/>
      <c r="AN21" s="540"/>
      <c r="AO21" s="540"/>
      <c r="AP21" s="540"/>
    </row>
    <row r="22" spans="1:42" x14ac:dyDescent="0.3">
      <c r="A22" s="540"/>
      <c r="B22" s="548"/>
      <c r="C22" s="548"/>
      <c r="D22" s="548"/>
      <c r="E22" s="549"/>
      <c r="F22" s="548"/>
      <c r="G22" s="550"/>
      <c r="H22" s="550"/>
      <c r="I22" s="551"/>
      <c r="J22" s="551"/>
      <c r="K22" s="552"/>
      <c r="L22" s="552"/>
      <c r="M22" s="553"/>
      <c r="N22" s="551"/>
      <c r="O22" s="552"/>
      <c r="P22" s="552"/>
      <c r="Q22" s="552"/>
      <c r="R22" s="551"/>
      <c r="S22" s="554"/>
      <c r="T22" s="554"/>
      <c r="U22" s="540"/>
      <c r="V22" s="540"/>
      <c r="W22" s="540"/>
      <c r="X22" s="540"/>
      <c r="Y22" s="540"/>
      <c r="Z22" s="540"/>
      <c r="AA22" s="540"/>
      <c r="AB22" s="540"/>
      <c r="AC22" s="540"/>
      <c r="AD22" s="540"/>
      <c r="AE22" s="540"/>
      <c r="AF22" s="540"/>
      <c r="AG22" s="540"/>
      <c r="AH22" s="540"/>
      <c r="AI22" s="540"/>
      <c r="AJ22" s="540"/>
      <c r="AK22" s="540"/>
      <c r="AL22" s="540"/>
      <c r="AM22" s="540"/>
      <c r="AN22" s="540"/>
      <c r="AO22" s="540"/>
      <c r="AP22" s="540"/>
    </row>
    <row r="23" spans="1:42" x14ac:dyDescent="0.3">
      <c r="A23" s="540"/>
      <c r="B23" s="548"/>
      <c r="C23" s="548"/>
      <c r="D23" s="548"/>
      <c r="E23" s="549"/>
      <c r="F23" s="548"/>
      <c r="G23" s="550"/>
      <c r="H23" s="550"/>
      <c r="I23" s="551"/>
      <c r="J23" s="551"/>
      <c r="K23" s="552"/>
      <c r="L23" s="552"/>
      <c r="M23" s="553"/>
      <c r="N23" s="551"/>
      <c r="O23" s="552"/>
      <c r="P23" s="552"/>
      <c r="Q23" s="552"/>
      <c r="R23" s="551"/>
      <c r="S23" s="554"/>
      <c r="T23" s="554"/>
      <c r="U23" s="540"/>
      <c r="V23" s="540"/>
      <c r="W23" s="540"/>
      <c r="X23" s="540"/>
      <c r="Y23" s="540"/>
      <c r="Z23" s="540"/>
      <c r="AA23" s="540"/>
      <c r="AB23" s="540"/>
      <c r="AC23" s="540"/>
      <c r="AD23" s="540"/>
      <c r="AE23" s="540"/>
      <c r="AF23" s="540"/>
      <c r="AG23" s="540"/>
      <c r="AH23" s="540"/>
      <c r="AI23" s="540"/>
      <c r="AJ23" s="540"/>
      <c r="AK23" s="540"/>
      <c r="AL23" s="540"/>
      <c r="AM23" s="540"/>
      <c r="AN23" s="540"/>
      <c r="AO23" s="540"/>
      <c r="AP23" s="540"/>
    </row>
    <row r="24" spans="1:42" x14ac:dyDescent="0.3">
      <c r="A24" s="540"/>
      <c r="B24" s="548"/>
      <c r="C24" s="548"/>
      <c r="D24" s="548"/>
      <c r="E24" s="549"/>
      <c r="F24" s="548"/>
      <c r="G24" s="550"/>
      <c r="H24" s="550"/>
      <c r="I24" s="551"/>
      <c r="J24" s="551"/>
      <c r="K24" s="552"/>
      <c r="L24" s="552"/>
      <c r="M24" s="553"/>
      <c r="N24" s="551"/>
      <c r="O24" s="552"/>
      <c r="P24" s="552"/>
      <c r="Q24" s="552"/>
      <c r="R24" s="551"/>
      <c r="S24" s="554"/>
      <c r="T24" s="554"/>
      <c r="U24" s="540"/>
      <c r="V24" s="540"/>
      <c r="W24" s="540"/>
      <c r="X24" s="540"/>
      <c r="Y24" s="540"/>
      <c r="Z24" s="540"/>
      <c r="AA24" s="540"/>
      <c r="AB24" s="540"/>
      <c r="AC24" s="540"/>
      <c r="AD24" s="540"/>
      <c r="AE24" s="540"/>
      <c r="AF24" s="540"/>
      <c r="AG24" s="540"/>
      <c r="AH24" s="540"/>
      <c r="AI24" s="540"/>
      <c r="AJ24" s="540"/>
      <c r="AK24" s="540"/>
      <c r="AL24" s="540"/>
      <c r="AM24" s="540"/>
      <c r="AN24" s="540"/>
      <c r="AO24" s="540"/>
      <c r="AP24" s="540"/>
    </row>
    <row r="25" spans="1:42" x14ac:dyDescent="0.3">
      <c r="A25" s="540"/>
      <c r="B25" s="548"/>
      <c r="C25" s="548"/>
      <c r="D25" s="548"/>
      <c r="E25" s="549"/>
      <c r="F25" s="548"/>
      <c r="G25" s="550"/>
      <c r="H25" s="550"/>
      <c r="I25" s="551"/>
      <c r="J25" s="551"/>
      <c r="K25" s="552"/>
      <c r="L25" s="552"/>
      <c r="M25" s="553"/>
      <c r="N25" s="551"/>
      <c r="O25" s="552"/>
      <c r="P25" s="552"/>
      <c r="Q25" s="552"/>
      <c r="R25" s="551"/>
      <c r="S25" s="554"/>
      <c r="T25" s="554"/>
      <c r="U25" s="540"/>
      <c r="V25" s="540"/>
      <c r="W25" s="540"/>
      <c r="X25" s="540"/>
      <c r="Y25" s="540"/>
      <c r="Z25" s="540"/>
      <c r="AA25" s="540"/>
      <c r="AB25" s="540"/>
      <c r="AC25" s="540"/>
      <c r="AD25" s="540"/>
      <c r="AE25" s="540"/>
      <c r="AF25" s="540"/>
      <c r="AG25" s="540"/>
      <c r="AH25" s="540"/>
      <c r="AI25" s="540"/>
      <c r="AJ25" s="540"/>
      <c r="AK25" s="540"/>
      <c r="AL25" s="540"/>
      <c r="AM25" s="540"/>
      <c r="AN25" s="540"/>
      <c r="AO25" s="540"/>
      <c r="AP25" s="540"/>
    </row>
    <row r="26" spans="1:42" x14ac:dyDescent="0.3">
      <c r="A26" s="540"/>
      <c r="B26" s="548"/>
      <c r="C26" s="548"/>
      <c r="D26" s="548"/>
      <c r="E26" s="549"/>
      <c r="F26" s="548"/>
      <c r="G26" s="550"/>
      <c r="H26" s="550"/>
      <c r="I26" s="551"/>
      <c r="J26" s="551"/>
      <c r="K26" s="552"/>
      <c r="L26" s="552"/>
      <c r="M26" s="553"/>
      <c r="N26" s="551"/>
      <c r="O26" s="552"/>
      <c r="P26" s="552"/>
      <c r="Q26" s="552"/>
      <c r="R26" s="551"/>
      <c r="S26" s="554"/>
      <c r="T26" s="554"/>
      <c r="U26" s="540"/>
      <c r="V26" s="540"/>
      <c r="W26" s="540"/>
      <c r="X26" s="540"/>
      <c r="Y26" s="540"/>
      <c r="Z26" s="540"/>
      <c r="AA26" s="540"/>
      <c r="AB26" s="540"/>
      <c r="AC26" s="540"/>
      <c r="AD26" s="540"/>
      <c r="AE26" s="540"/>
      <c r="AF26" s="540"/>
      <c r="AG26" s="540"/>
      <c r="AH26" s="540"/>
      <c r="AI26" s="540"/>
      <c r="AJ26" s="540"/>
      <c r="AK26" s="540"/>
      <c r="AL26" s="540"/>
      <c r="AM26" s="540"/>
      <c r="AN26" s="540"/>
      <c r="AO26" s="540"/>
      <c r="AP26" s="540"/>
    </row>
    <row r="27" spans="1:42" x14ac:dyDescent="0.3">
      <c r="A27" s="540"/>
      <c r="B27" s="548"/>
      <c r="C27" s="548"/>
      <c r="D27" s="548"/>
      <c r="E27" s="549"/>
      <c r="F27" s="548"/>
      <c r="G27" s="550"/>
      <c r="H27" s="550"/>
      <c r="I27" s="551"/>
      <c r="J27" s="551"/>
      <c r="K27" s="552"/>
      <c r="L27" s="552"/>
      <c r="M27" s="553"/>
      <c r="N27" s="551"/>
      <c r="O27" s="552"/>
      <c r="P27" s="552"/>
      <c r="Q27" s="552"/>
      <c r="R27" s="551"/>
      <c r="S27" s="554"/>
      <c r="T27" s="554"/>
      <c r="U27" s="540"/>
      <c r="V27" s="540"/>
      <c r="W27" s="540"/>
      <c r="X27" s="540"/>
      <c r="Y27" s="540"/>
      <c r="Z27" s="540"/>
      <c r="AA27" s="540"/>
      <c r="AB27" s="540"/>
      <c r="AC27" s="540"/>
      <c r="AD27" s="540"/>
      <c r="AE27" s="540"/>
      <c r="AF27" s="540"/>
      <c r="AG27" s="540"/>
      <c r="AH27" s="540"/>
      <c r="AI27" s="540"/>
      <c r="AJ27" s="540"/>
      <c r="AK27" s="540"/>
      <c r="AL27" s="540"/>
      <c r="AM27" s="540"/>
      <c r="AN27" s="540"/>
      <c r="AO27" s="540"/>
      <c r="AP27" s="540"/>
    </row>
    <row r="28" spans="1:42" x14ac:dyDescent="0.3">
      <c r="A28" s="540"/>
      <c r="B28" s="548"/>
      <c r="C28" s="548"/>
      <c r="D28" s="548"/>
      <c r="E28" s="549"/>
      <c r="F28" s="548"/>
      <c r="G28" s="550"/>
      <c r="H28" s="550"/>
      <c r="I28" s="551"/>
      <c r="J28" s="551"/>
      <c r="K28" s="552"/>
      <c r="L28" s="552"/>
      <c r="M28" s="553"/>
      <c r="N28" s="551"/>
      <c r="O28" s="552"/>
      <c r="P28" s="552"/>
      <c r="Q28" s="552"/>
      <c r="R28" s="551"/>
      <c r="S28" s="554"/>
      <c r="T28" s="554"/>
      <c r="U28" s="540"/>
      <c r="V28" s="540"/>
      <c r="W28" s="540"/>
      <c r="X28" s="540"/>
      <c r="Y28" s="540"/>
      <c r="Z28" s="540"/>
      <c r="AA28" s="540"/>
      <c r="AB28" s="540"/>
      <c r="AC28" s="540"/>
      <c r="AD28" s="540"/>
      <c r="AE28" s="540"/>
      <c r="AF28" s="540"/>
      <c r="AG28" s="540"/>
      <c r="AH28" s="540"/>
      <c r="AI28" s="540"/>
      <c r="AJ28" s="540"/>
      <c r="AK28" s="540"/>
      <c r="AL28" s="540"/>
      <c r="AM28" s="540"/>
      <c r="AN28" s="540"/>
      <c r="AO28" s="540"/>
      <c r="AP28" s="540"/>
    </row>
    <row r="29" spans="1:42" x14ac:dyDescent="0.3">
      <c r="A29" s="540"/>
      <c r="B29" s="548"/>
      <c r="C29" s="548"/>
      <c r="D29" s="548"/>
      <c r="E29" s="549"/>
      <c r="F29" s="548"/>
      <c r="G29" s="550"/>
      <c r="H29" s="550"/>
      <c r="I29" s="551"/>
      <c r="J29" s="551"/>
      <c r="K29" s="552"/>
      <c r="L29" s="552"/>
      <c r="M29" s="553"/>
      <c r="N29" s="551"/>
      <c r="O29" s="552"/>
      <c r="P29" s="552"/>
      <c r="Q29" s="552"/>
      <c r="R29" s="551"/>
      <c r="S29" s="554"/>
      <c r="T29" s="554"/>
      <c r="U29" s="540"/>
      <c r="V29" s="540"/>
      <c r="W29" s="540"/>
      <c r="X29" s="540"/>
      <c r="Y29" s="540"/>
      <c r="Z29" s="540"/>
      <c r="AA29" s="540"/>
      <c r="AB29" s="540"/>
      <c r="AC29" s="540"/>
      <c r="AD29" s="540"/>
      <c r="AE29" s="540"/>
      <c r="AF29" s="540"/>
      <c r="AG29" s="540"/>
      <c r="AH29" s="540"/>
      <c r="AI29" s="540"/>
      <c r="AJ29" s="540"/>
      <c r="AK29" s="540"/>
      <c r="AL29" s="540"/>
      <c r="AM29" s="540"/>
      <c r="AN29" s="540"/>
      <c r="AO29" s="540"/>
      <c r="AP29" s="540"/>
    </row>
    <row r="30" spans="1:42" x14ac:dyDescent="0.3">
      <c r="A30" s="540"/>
      <c r="B30" s="548"/>
      <c r="C30" s="548"/>
      <c r="D30" s="548"/>
      <c r="E30" s="549"/>
      <c r="F30" s="548"/>
      <c r="G30" s="550"/>
      <c r="H30" s="550"/>
      <c r="I30" s="551"/>
      <c r="J30" s="551"/>
      <c r="K30" s="552"/>
      <c r="L30" s="552"/>
      <c r="M30" s="553"/>
      <c r="N30" s="551"/>
      <c r="O30" s="552"/>
      <c r="P30" s="552"/>
      <c r="Q30" s="552"/>
      <c r="R30" s="551"/>
      <c r="S30" s="554"/>
      <c r="T30" s="554"/>
      <c r="U30" s="540"/>
      <c r="V30" s="540"/>
      <c r="W30" s="540"/>
      <c r="X30" s="540"/>
      <c r="Y30" s="540"/>
      <c r="Z30" s="540"/>
      <c r="AA30" s="540"/>
      <c r="AB30" s="540"/>
      <c r="AC30" s="540"/>
      <c r="AD30" s="540"/>
      <c r="AE30" s="540"/>
      <c r="AF30" s="540"/>
      <c r="AG30" s="540"/>
      <c r="AH30" s="540"/>
      <c r="AI30" s="540"/>
      <c r="AJ30" s="540"/>
      <c r="AK30" s="540"/>
      <c r="AL30" s="540"/>
      <c r="AM30" s="540"/>
      <c r="AN30" s="540"/>
      <c r="AO30" s="540"/>
      <c r="AP30" s="540"/>
    </row>
    <row r="31" spans="1:42" x14ac:dyDescent="0.3">
      <c r="A31" s="540"/>
      <c r="B31" s="548"/>
      <c r="C31" s="548"/>
      <c r="D31" s="548"/>
      <c r="E31" s="549"/>
      <c r="F31" s="548"/>
      <c r="G31" s="550"/>
      <c r="H31" s="550"/>
      <c r="I31" s="551"/>
      <c r="J31" s="551"/>
      <c r="K31" s="552"/>
      <c r="L31" s="552"/>
      <c r="M31" s="553"/>
      <c r="N31" s="551"/>
      <c r="O31" s="552"/>
      <c r="P31" s="552"/>
      <c r="Q31" s="552"/>
      <c r="R31" s="551"/>
      <c r="S31" s="554"/>
      <c r="T31" s="554"/>
      <c r="U31" s="540"/>
      <c r="V31" s="540"/>
      <c r="W31" s="540"/>
      <c r="X31" s="540"/>
      <c r="Y31" s="540"/>
      <c r="Z31" s="540"/>
      <c r="AA31" s="540"/>
      <c r="AB31" s="540"/>
      <c r="AC31" s="540"/>
      <c r="AD31" s="540"/>
      <c r="AE31" s="540"/>
      <c r="AF31" s="540"/>
      <c r="AG31" s="540"/>
      <c r="AH31" s="540"/>
      <c r="AI31" s="540"/>
      <c r="AJ31" s="540"/>
      <c r="AK31" s="540"/>
      <c r="AL31" s="540"/>
      <c r="AM31" s="540"/>
      <c r="AN31" s="540"/>
      <c r="AO31" s="540"/>
      <c r="AP31" s="540"/>
    </row>
    <row r="32" spans="1:42" x14ac:dyDescent="0.3">
      <c r="A32" s="540"/>
      <c r="B32" s="548"/>
      <c r="C32" s="548"/>
      <c r="D32" s="548"/>
      <c r="E32" s="549"/>
      <c r="F32" s="548"/>
      <c r="G32" s="550"/>
      <c r="H32" s="550"/>
      <c r="I32" s="551"/>
      <c r="J32" s="551"/>
      <c r="K32" s="552"/>
      <c r="L32" s="552"/>
      <c r="M32" s="553"/>
      <c r="N32" s="551"/>
      <c r="O32" s="552"/>
      <c r="P32" s="552"/>
      <c r="Q32" s="552"/>
      <c r="R32" s="551"/>
      <c r="S32" s="554"/>
      <c r="T32" s="554"/>
      <c r="U32" s="540"/>
      <c r="V32" s="540"/>
      <c r="W32" s="540"/>
      <c r="X32" s="540"/>
      <c r="Y32" s="540"/>
      <c r="Z32" s="540"/>
      <c r="AA32" s="540"/>
      <c r="AB32" s="540"/>
      <c r="AC32" s="540"/>
      <c r="AD32" s="540"/>
      <c r="AE32" s="540"/>
      <c r="AF32" s="540"/>
      <c r="AG32" s="540"/>
      <c r="AH32" s="540"/>
      <c r="AI32" s="540"/>
      <c r="AJ32" s="540"/>
      <c r="AK32" s="540"/>
      <c r="AL32" s="540"/>
      <c r="AM32" s="540"/>
      <c r="AN32" s="540"/>
      <c r="AO32" s="540"/>
      <c r="AP32" s="540"/>
    </row>
    <row r="33" spans="1:42" x14ac:dyDescent="0.3">
      <c r="A33" s="540"/>
      <c r="B33" s="548"/>
      <c r="C33" s="548"/>
      <c r="D33" s="548"/>
      <c r="E33" s="549"/>
      <c r="F33" s="548"/>
      <c r="G33" s="550"/>
      <c r="H33" s="550"/>
      <c r="I33" s="551"/>
      <c r="J33" s="551"/>
      <c r="K33" s="552"/>
      <c r="L33" s="552"/>
      <c r="M33" s="553"/>
      <c r="N33" s="551"/>
      <c r="O33" s="552"/>
      <c r="P33" s="552"/>
      <c r="Q33" s="552"/>
      <c r="R33" s="551"/>
      <c r="S33" s="554"/>
      <c r="T33" s="554"/>
      <c r="U33" s="540"/>
      <c r="V33" s="540"/>
      <c r="W33" s="540"/>
      <c r="X33" s="540"/>
      <c r="Y33" s="540"/>
      <c r="Z33" s="540"/>
      <c r="AA33" s="540"/>
      <c r="AB33" s="540"/>
      <c r="AC33" s="540"/>
      <c r="AD33" s="540"/>
      <c r="AE33" s="540"/>
      <c r="AF33" s="540"/>
      <c r="AG33" s="540"/>
      <c r="AH33" s="540"/>
      <c r="AI33" s="540"/>
      <c r="AJ33" s="540"/>
      <c r="AK33" s="540"/>
      <c r="AL33" s="540"/>
      <c r="AM33" s="540"/>
      <c r="AN33" s="540"/>
      <c r="AO33" s="540"/>
      <c r="AP33" s="540"/>
    </row>
    <row r="34" spans="1:42" x14ac:dyDescent="0.3">
      <c r="A34" s="540"/>
      <c r="B34" s="548"/>
      <c r="C34" s="548"/>
      <c r="D34" s="548"/>
      <c r="E34" s="549"/>
      <c r="F34" s="548"/>
      <c r="G34" s="550"/>
      <c r="H34" s="550"/>
      <c r="I34" s="551"/>
      <c r="J34" s="551"/>
      <c r="K34" s="552"/>
      <c r="L34" s="552"/>
      <c r="M34" s="553"/>
      <c r="N34" s="551"/>
      <c r="O34" s="552"/>
      <c r="P34" s="552"/>
      <c r="Q34" s="552"/>
      <c r="R34" s="551"/>
      <c r="S34" s="554"/>
      <c r="T34" s="554"/>
      <c r="U34" s="540"/>
      <c r="V34" s="540"/>
      <c r="W34" s="540"/>
      <c r="X34" s="540"/>
      <c r="Y34" s="540"/>
      <c r="Z34" s="540"/>
      <c r="AA34" s="540"/>
      <c r="AB34" s="540"/>
      <c r="AC34" s="540"/>
      <c r="AD34" s="540"/>
      <c r="AE34" s="540"/>
      <c r="AF34" s="540"/>
      <c r="AG34" s="540"/>
      <c r="AH34" s="540"/>
      <c r="AI34" s="540"/>
      <c r="AJ34" s="540"/>
      <c r="AK34" s="540"/>
      <c r="AL34" s="540"/>
      <c r="AM34" s="540"/>
      <c r="AN34" s="540"/>
      <c r="AO34" s="540"/>
      <c r="AP34" s="540"/>
    </row>
    <row r="35" spans="1:42" x14ac:dyDescent="0.3">
      <c r="A35" s="540"/>
      <c r="B35" s="548"/>
      <c r="C35" s="548"/>
      <c r="D35" s="548"/>
      <c r="E35" s="549"/>
      <c r="F35" s="548"/>
      <c r="G35" s="550"/>
      <c r="H35" s="550"/>
      <c r="I35" s="551"/>
      <c r="J35" s="551"/>
      <c r="K35" s="552"/>
      <c r="L35" s="552"/>
      <c r="M35" s="553"/>
      <c r="N35" s="551"/>
      <c r="O35" s="552"/>
      <c r="P35" s="552"/>
      <c r="Q35" s="552"/>
      <c r="R35" s="551"/>
      <c r="S35" s="554"/>
      <c r="T35" s="554"/>
      <c r="U35" s="540"/>
      <c r="V35" s="540"/>
      <c r="W35" s="540"/>
      <c r="X35" s="540"/>
      <c r="Y35" s="540"/>
      <c r="Z35" s="540"/>
      <c r="AA35" s="540"/>
      <c r="AB35" s="540"/>
      <c r="AC35" s="540"/>
      <c r="AD35" s="540"/>
      <c r="AE35" s="540"/>
      <c r="AF35" s="540"/>
      <c r="AG35" s="540"/>
      <c r="AH35" s="540"/>
      <c r="AI35" s="540"/>
      <c r="AJ35" s="540"/>
      <c r="AK35" s="540"/>
      <c r="AL35" s="540"/>
      <c r="AM35" s="540"/>
      <c r="AN35" s="540"/>
      <c r="AO35" s="540"/>
      <c r="AP35" s="540"/>
    </row>
    <row r="36" spans="1:42" x14ac:dyDescent="0.3">
      <c r="A36" s="540"/>
      <c r="B36" s="548"/>
      <c r="C36" s="548"/>
      <c r="D36" s="548"/>
      <c r="E36" s="549"/>
      <c r="F36" s="548"/>
      <c r="G36" s="550"/>
      <c r="H36" s="550"/>
      <c r="I36" s="551"/>
      <c r="J36" s="551"/>
      <c r="K36" s="552"/>
      <c r="L36" s="552"/>
      <c r="M36" s="553"/>
      <c r="N36" s="551"/>
      <c r="O36" s="552"/>
      <c r="P36" s="552"/>
      <c r="Q36" s="552"/>
      <c r="R36" s="551"/>
      <c r="S36" s="554"/>
      <c r="T36" s="554"/>
      <c r="U36" s="540"/>
      <c r="V36" s="540"/>
      <c r="W36" s="540"/>
      <c r="X36" s="540"/>
      <c r="Y36" s="540"/>
      <c r="Z36" s="540"/>
      <c r="AA36" s="540"/>
      <c r="AB36" s="540"/>
      <c r="AC36" s="540"/>
      <c r="AD36" s="540"/>
      <c r="AE36" s="540"/>
      <c r="AF36" s="540"/>
      <c r="AG36" s="540"/>
      <c r="AH36" s="540"/>
      <c r="AI36" s="540"/>
      <c r="AJ36" s="540"/>
      <c r="AK36" s="540"/>
      <c r="AL36" s="540"/>
      <c r="AM36" s="540"/>
      <c r="AN36" s="540"/>
      <c r="AO36" s="540"/>
      <c r="AP36" s="540"/>
    </row>
    <row r="37" spans="1:42" x14ac:dyDescent="0.3">
      <c r="A37" s="540"/>
      <c r="B37" s="548"/>
      <c r="C37" s="548"/>
      <c r="D37" s="548"/>
      <c r="E37" s="549"/>
      <c r="F37" s="548"/>
      <c r="G37" s="550"/>
      <c r="H37" s="550"/>
      <c r="I37" s="551"/>
      <c r="J37" s="551"/>
      <c r="K37" s="552"/>
      <c r="L37" s="552"/>
      <c r="M37" s="553"/>
      <c r="N37" s="551"/>
      <c r="O37" s="552"/>
      <c r="P37" s="552"/>
      <c r="Q37" s="552"/>
      <c r="R37" s="551"/>
      <c r="S37" s="554"/>
      <c r="T37" s="554"/>
      <c r="U37" s="540"/>
      <c r="V37" s="540"/>
      <c r="W37" s="540"/>
      <c r="X37" s="540"/>
      <c r="Y37" s="540"/>
      <c r="Z37" s="540"/>
      <c r="AA37" s="540"/>
      <c r="AB37" s="540"/>
      <c r="AC37" s="540"/>
      <c r="AD37" s="540"/>
      <c r="AE37" s="540"/>
      <c r="AF37" s="540"/>
      <c r="AG37" s="540"/>
      <c r="AH37" s="540"/>
      <c r="AI37" s="540"/>
      <c r="AJ37" s="540"/>
      <c r="AK37" s="540"/>
      <c r="AL37" s="540"/>
      <c r="AM37" s="540"/>
      <c r="AN37" s="540"/>
      <c r="AO37" s="540"/>
      <c r="AP37" s="540"/>
    </row>
    <row r="38" spans="1:42" x14ac:dyDescent="0.3">
      <c r="A38" s="540"/>
      <c r="B38" s="548"/>
      <c r="C38" s="548"/>
      <c r="D38" s="548"/>
      <c r="E38" s="549"/>
      <c r="F38" s="548"/>
      <c r="G38" s="550"/>
      <c r="H38" s="550"/>
      <c r="I38" s="551"/>
      <c r="J38" s="551"/>
      <c r="K38" s="552"/>
      <c r="L38" s="552"/>
      <c r="M38" s="553"/>
      <c r="N38" s="551"/>
      <c r="O38" s="552"/>
      <c r="P38" s="552"/>
      <c r="Q38" s="552"/>
      <c r="R38" s="551"/>
      <c r="S38" s="554"/>
      <c r="T38" s="554"/>
      <c r="U38" s="540"/>
      <c r="V38" s="540"/>
      <c r="W38" s="540"/>
      <c r="X38" s="540"/>
      <c r="Y38" s="540"/>
      <c r="Z38" s="540"/>
      <c r="AA38" s="540"/>
      <c r="AB38" s="540"/>
      <c r="AC38" s="540"/>
      <c r="AD38" s="540"/>
      <c r="AE38" s="540"/>
      <c r="AF38" s="540"/>
      <c r="AG38" s="540"/>
      <c r="AH38" s="540"/>
      <c r="AI38" s="540"/>
      <c r="AJ38" s="540"/>
      <c r="AK38" s="540"/>
      <c r="AL38" s="540"/>
      <c r="AM38" s="540"/>
      <c r="AN38" s="540"/>
      <c r="AO38" s="540"/>
      <c r="AP38" s="540"/>
    </row>
    <row r="39" spans="1:42" x14ac:dyDescent="0.3">
      <c r="A39" s="540"/>
      <c r="B39" s="548"/>
      <c r="C39" s="548"/>
      <c r="D39" s="548"/>
      <c r="E39" s="549"/>
      <c r="F39" s="548"/>
      <c r="G39" s="550"/>
      <c r="H39" s="550"/>
      <c r="I39" s="551"/>
      <c r="J39" s="551"/>
      <c r="K39" s="552"/>
      <c r="L39" s="552"/>
      <c r="M39" s="553"/>
      <c r="N39" s="551"/>
      <c r="O39" s="552"/>
      <c r="P39" s="552"/>
      <c r="Q39" s="552"/>
      <c r="R39" s="551"/>
      <c r="S39" s="554"/>
      <c r="T39" s="554"/>
      <c r="U39" s="540"/>
      <c r="V39" s="540"/>
      <c r="W39" s="540"/>
      <c r="X39" s="540"/>
      <c r="Y39" s="540"/>
      <c r="Z39" s="540"/>
      <c r="AA39" s="540"/>
      <c r="AB39" s="540"/>
      <c r="AC39" s="540"/>
      <c r="AD39" s="540"/>
      <c r="AE39" s="540"/>
      <c r="AF39" s="540"/>
      <c r="AG39" s="540"/>
      <c r="AH39" s="540"/>
      <c r="AI39" s="540"/>
      <c r="AJ39" s="540"/>
      <c r="AK39" s="540"/>
      <c r="AL39" s="540"/>
      <c r="AM39" s="540"/>
      <c r="AN39" s="540"/>
      <c r="AO39" s="540"/>
      <c r="AP39" s="540"/>
    </row>
    <row r="40" spans="1:42" x14ac:dyDescent="0.3">
      <c r="A40" s="540"/>
      <c r="B40" s="548"/>
      <c r="C40" s="548"/>
      <c r="D40" s="548"/>
      <c r="E40" s="549"/>
      <c r="F40" s="548"/>
      <c r="G40" s="550"/>
      <c r="H40" s="550"/>
      <c r="I40" s="551"/>
      <c r="J40" s="551"/>
      <c r="K40" s="552"/>
      <c r="L40" s="552"/>
      <c r="M40" s="553"/>
      <c r="N40" s="551"/>
      <c r="O40" s="552"/>
      <c r="P40" s="552"/>
      <c r="Q40" s="552"/>
      <c r="R40" s="551"/>
      <c r="S40" s="554"/>
      <c r="T40" s="554"/>
      <c r="U40" s="540"/>
      <c r="V40" s="540"/>
      <c r="W40" s="540"/>
      <c r="X40" s="540"/>
      <c r="Y40" s="540"/>
      <c r="Z40" s="540"/>
      <c r="AA40" s="540"/>
      <c r="AB40" s="540"/>
      <c r="AC40" s="540"/>
      <c r="AD40" s="540"/>
      <c r="AE40" s="540"/>
      <c r="AF40" s="540"/>
      <c r="AG40" s="540"/>
      <c r="AH40" s="540"/>
      <c r="AI40" s="540"/>
      <c r="AJ40" s="540"/>
      <c r="AK40" s="540"/>
      <c r="AL40" s="540"/>
      <c r="AM40" s="540"/>
      <c r="AN40" s="540"/>
      <c r="AO40" s="540"/>
      <c r="AP40" s="540"/>
    </row>
    <row r="41" spans="1:42" x14ac:dyDescent="0.3">
      <c r="A41" s="540"/>
      <c r="B41" s="548"/>
      <c r="C41" s="548"/>
      <c r="D41" s="548"/>
      <c r="E41" s="549"/>
      <c r="F41" s="548"/>
      <c r="G41" s="550"/>
      <c r="H41" s="550"/>
      <c r="I41" s="551"/>
      <c r="J41" s="551"/>
      <c r="K41" s="552"/>
      <c r="L41" s="552"/>
      <c r="M41" s="553"/>
      <c r="N41" s="551"/>
      <c r="O41" s="552"/>
      <c r="P41" s="552"/>
      <c r="Q41" s="552"/>
      <c r="R41" s="551"/>
      <c r="S41" s="554"/>
      <c r="T41" s="554"/>
      <c r="U41" s="540"/>
      <c r="V41" s="540"/>
      <c r="W41" s="540"/>
      <c r="X41" s="540"/>
      <c r="Y41" s="540"/>
      <c r="Z41" s="540"/>
      <c r="AA41" s="540"/>
      <c r="AB41" s="540"/>
      <c r="AC41" s="540"/>
      <c r="AD41" s="540"/>
      <c r="AE41" s="540"/>
      <c r="AF41" s="540"/>
      <c r="AG41" s="540"/>
      <c r="AH41" s="540"/>
      <c r="AI41" s="540"/>
      <c r="AJ41" s="540"/>
      <c r="AK41" s="540"/>
      <c r="AL41" s="540"/>
      <c r="AM41" s="540"/>
      <c r="AN41" s="540"/>
      <c r="AO41" s="540"/>
      <c r="AP41" s="540"/>
    </row>
    <row r="42" spans="1:42" x14ac:dyDescent="0.3">
      <c r="A42" s="540"/>
      <c r="B42" s="548"/>
      <c r="C42" s="548"/>
      <c r="D42" s="548"/>
      <c r="E42" s="549"/>
      <c r="F42" s="548"/>
      <c r="G42" s="550"/>
      <c r="H42" s="550"/>
      <c r="I42" s="551"/>
      <c r="J42" s="551"/>
      <c r="K42" s="552"/>
      <c r="L42" s="552"/>
      <c r="M42" s="553"/>
      <c r="N42" s="551"/>
      <c r="O42" s="552"/>
      <c r="P42" s="552"/>
      <c r="Q42" s="552"/>
      <c r="R42" s="551"/>
      <c r="S42" s="554"/>
      <c r="T42" s="554"/>
      <c r="U42" s="540"/>
      <c r="V42" s="540"/>
      <c r="W42" s="540"/>
      <c r="X42" s="540"/>
      <c r="Y42" s="540"/>
      <c r="Z42" s="540"/>
      <c r="AA42" s="540"/>
      <c r="AB42" s="540"/>
      <c r="AC42" s="540"/>
      <c r="AD42" s="540"/>
      <c r="AE42" s="540"/>
      <c r="AF42" s="540"/>
      <c r="AG42" s="540"/>
      <c r="AH42" s="540"/>
      <c r="AI42" s="540"/>
      <c r="AJ42" s="540"/>
      <c r="AK42" s="540"/>
      <c r="AL42" s="540"/>
      <c r="AM42" s="540"/>
      <c r="AN42" s="540"/>
      <c r="AO42" s="540"/>
      <c r="AP42" s="540"/>
    </row>
    <row r="43" spans="1:42" x14ac:dyDescent="0.3">
      <c r="A43" s="540"/>
      <c r="B43" s="548"/>
      <c r="C43" s="548"/>
      <c r="D43" s="548"/>
      <c r="E43" s="549"/>
      <c r="F43" s="548"/>
      <c r="G43" s="550"/>
      <c r="H43" s="550"/>
      <c r="I43" s="551"/>
      <c r="J43" s="551"/>
      <c r="K43" s="552"/>
      <c r="L43" s="552"/>
      <c r="M43" s="553"/>
      <c r="N43" s="551"/>
      <c r="O43" s="552"/>
      <c r="P43" s="552"/>
      <c r="Q43" s="552"/>
      <c r="R43" s="551"/>
      <c r="S43" s="554"/>
      <c r="T43" s="554"/>
      <c r="U43" s="540"/>
      <c r="V43" s="540"/>
      <c r="W43" s="540"/>
      <c r="X43" s="540"/>
      <c r="Y43" s="540"/>
      <c r="Z43" s="540"/>
      <c r="AA43" s="540"/>
      <c r="AB43" s="540"/>
      <c r="AC43" s="540"/>
      <c r="AD43" s="540"/>
      <c r="AE43" s="540"/>
      <c r="AF43" s="540"/>
      <c r="AG43" s="540"/>
      <c r="AH43" s="540"/>
      <c r="AI43" s="540"/>
      <c r="AJ43" s="540"/>
      <c r="AK43" s="540"/>
      <c r="AL43" s="540"/>
      <c r="AM43" s="540"/>
      <c r="AN43" s="540"/>
      <c r="AO43" s="540"/>
      <c r="AP43" s="540"/>
    </row>
    <row r="44" spans="1:42" x14ac:dyDescent="0.3">
      <c r="A44" s="540"/>
      <c r="B44" s="548"/>
      <c r="C44" s="548"/>
      <c r="D44" s="548"/>
      <c r="E44" s="549"/>
      <c r="F44" s="548"/>
      <c r="G44" s="550"/>
      <c r="H44" s="550"/>
      <c r="I44" s="551"/>
      <c r="J44" s="551"/>
      <c r="K44" s="552"/>
      <c r="L44" s="552"/>
      <c r="M44" s="553"/>
      <c r="N44" s="551"/>
      <c r="O44" s="552"/>
      <c r="P44" s="552"/>
      <c r="Q44" s="552"/>
      <c r="R44" s="551"/>
      <c r="S44" s="554"/>
      <c r="T44" s="554"/>
      <c r="U44" s="540"/>
      <c r="V44" s="540"/>
      <c r="W44" s="540"/>
      <c r="X44" s="540"/>
      <c r="Y44" s="540"/>
      <c r="Z44" s="540"/>
      <c r="AA44" s="540"/>
      <c r="AB44" s="540"/>
      <c r="AC44" s="540"/>
      <c r="AD44" s="540"/>
      <c r="AE44" s="540"/>
      <c r="AF44" s="540"/>
      <c r="AG44" s="540"/>
      <c r="AH44" s="540"/>
      <c r="AI44" s="540"/>
      <c r="AJ44" s="540"/>
      <c r="AK44" s="540"/>
      <c r="AL44" s="540"/>
      <c r="AM44" s="540"/>
      <c r="AN44" s="540"/>
      <c r="AO44" s="540"/>
      <c r="AP44" s="540"/>
    </row>
    <row r="45" spans="1:42" x14ac:dyDescent="0.3">
      <c r="A45" s="540"/>
      <c r="B45" s="548"/>
      <c r="C45" s="548"/>
      <c r="D45" s="548"/>
      <c r="E45" s="549"/>
      <c r="F45" s="548"/>
      <c r="G45" s="550"/>
      <c r="H45" s="550"/>
      <c r="I45" s="551"/>
      <c r="J45" s="551"/>
      <c r="K45" s="552"/>
      <c r="L45" s="552"/>
      <c r="M45" s="553"/>
      <c r="N45" s="551"/>
      <c r="O45" s="552"/>
      <c r="P45" s="552"/>
      <c r="Q45" s="552"/>
      <c r="R45" s="551"/>
      <c r="S45" s="554"/>
      <c r="T45" s="554"/>
      <c r="U45" s="540"/>
      <c r="V45" s="540"/>
      <c r="W45" s="540"/>
      <c r="X45" s="540"/>
      <c r="Y45" s="540"/>
      <c r="Z45" s="540"/>
      <c r="AA45" s="540"/>
      <c r="AB45" s="540"/>
      <c r="AC45" s="540"/>
      <c r="AD45" s="540"/>
      <c r="AE45" s="540"/>
      <c r="AF45" s="540"/>
      <c r="AG45" s="540"/>
      <c r="AH45" s="540"/>
      <c r="AI45" s="540"/>
      <c r="AJ45" s="540"/>
      <c r="AK45" s="540"/>
      <c r="AL45" s="540"/>
      <c r="AM45" s="540"/>
      <c r="AN45" s="540"/>
      <c r="AO45" s="540"/>
      <c r="AP45" s="540"/>
    </row>
    <row r="46" spans="1:42" x14ac:dyDescent="0.3">
      <c r="A46" s="540"/>
      <c r="B46" s="548"/>
      <c r="C46" s="548"/>
      <c r="D46" s="548"/>
      <c r="E46" s="549"/>
      <c r="F46" s="548"/>
      <c r="G46" s="550"/>
      <c r="H46" s="550"/>
      <c r="I46" s="551"/>
      <c r="J46" s="551"/>
      <c r="K46" s="552"/>
      <c r="L46" s="552"/>
      <c r="M46" s="553"/>
      <c r="N46" s="551"/>
      <c r="O46" s="552"/>
      <c r="P46" s="552"/>
      <c r="Q46" s="552"/>
      <c r="R46" s="551"/>
      <c r="S46" s="554"/>
      <c r="T46" s="554"/>
      <c r="U46" s="540"/>
      <c r="V46" s="540"/>
      <c r="W46" s="540"/>
      <c r="X46" s="540"/>
      <c r="Y46" s="540"/>
      <c r="Z46" s="540"/>
      <c r="AA46" s="540"/>
      <c r="AB46" s="540"/>
      <c r="AC46" s="540"/>
      <c r="AD46" s="540"/>
      <c r="AE46" s="540"/>
      <c r="AF46" s="540"/>
      <c r="AG46" s="540"/>
      <c r="AH46" s="540"/>
      <c r="AI46" s="540"/>
      <c r="AJ46" s="540"/>
      <c r="AK46" s="540"/>
      <c r="AL46" s="540"/>
      <c r="AM46" s="540"/>
      <c r="AN46" s="540"/>
      <c r="AO46" s="540"/>
      <c r="AP46" s="540"/>
    </row>
    <row r="47" spans="1:42" x14ac:dyDescent="0.3">
      <c r="A47" s="540"/>
      <c r="B47" s="548"/>
      <c r="C47" s="548"/>
      <c r="D47" s="548"/>
      <c r="E47" s="549"/>
      <c r="F47" s="548"/>
      <c r="G47" s="550"/>
      <c r="H47" s="550"/>
      <c r="I47" s="551"/>
      <c r="J47" s="551"/>
      <c r="K47" s="552"/>
      <c r="L47" s="552"/>
      <c r="M47" s="553"/>
      <c r="N47" s="551"/>
      <c r="O47" s="552"/>
      <c r="P47" s="552"/>
      <c r="Q47" s="552"/>
      <c r="R47" s="551"/>
      <c r="S47" s="554"/>
      <c r="T47" s="554"/>
      <c r="U47" s="540"/>
      <c r="V47" s="540"/>
      <c r="W47" s="540"/>
      <c r="X47" s="540"/>
      <c r="Y47" s="540"/>
      <c r="Z47" s="540"/>
      <c r="AA47" s="540"/>
      <c r="AB47" s="540"/>
      <c r="AC47" s="540"/>
      <c r="AD47" s="540"/>
      <c r="AE47" s="540"/>
      <c r="AF47" s="540"/>
      <c r="AG47" s="540"/>
      <c r="AH47" s="540"/>
      <c r="AI47" s="540"/>
      <c r="AJ47" s="540"/>
      <c r="AK47" s="540"/>
      <c r="AL47" s="540"/>
      <c r="AM47" s="540"/>
      <c r="AN47" s="540"/>
      <c r="AO47" s="540"/>
      <c r="AP47" s="540"/>
    </row>
    <row r="48" spans="1:42" x14ac:dyDescent="0.3">
      <c r="A48" s="540"/>
      <c r="B48" s="548"/>
      <c r="C48" s="548"/>
      <c r="D48" s="548"/>
      <c r="E48" s="549"/>
      <c r="F48" s="548"/>
      <c r="G48" s="550"/>
      <c r="H48" s="550"/>
      <c r="I48" s="551"/>
      <c r="J48" s="551"/>
      <c r="K48" s="552"/>
      <c r="L48" s="552"/>
      <c r="M48" s="553"/>
      <c r="N48" s="551"/>
      <c r="O48" s="552"/>
      <c r="P48" s="552"/>
      <c r="Q48" s="552"/>
      <c r="R48" s="551"/>
      <c r="S48" s="554"/>
      <c r="T48" s="554"/>
      <c r="U48" s="540"/>
      <c r="V48" s="540"/>
      <c r="W48" s="540"/>
      <c r="X48" s="540"/>
      <c r="Y48" s="540"/>
      <c r="Z48" s="540"/>
      <c r="AA48" s="540"/>
      <c r="AB48" s="540"/>
      <c r="AC48" s="540"/>
      <c r="AD48" s="540"/>
      <c r="AE48" s="540"/>
      <c r="AF48" s="540"/>
      <c r="AG48" s="540"/>
      <c r="AH48" s="540"/>
      <c r="AI48" s="540"/>
      <c r="AJ48" s="540"/>
      <c r="AK48" s="540"/>
      <c r="AL48" s="540"/>
      <c r="AM48" s="540"/>
      <c r="AN48" s="540"/>
      <c r="AO48" s="540"/>
      <c r="AP48" s="540"/>
    </row>
    <row r="49" spans="1:42" x14ac:dyDescent="0.3">
      <c r="A49" s="540"/>
      <c r="B49" s="548"/>
      <c r="C49" s="548"/>
      <c r="D49" s="548"/>
      <c r="E49" s="549"/>
      <c r="F49" s="548"/>
      <c r="G49" s="550"/>
      <c r="H49" s="550"/>
      <c r="I49" s="551"/>
      <c r="J49" s="551"/>
      <c r="K49" s="552"/>
      <c r="L49" s="552"/>
      <c r="M49" s="553"/>
      <c r="N49" s="551"/>
      <c r="O49" s="552"/>
      <c r="P49" s="552"/>
      <c r="Q49" s="552"/>
      <c r="R49" s="551"/>
      <c r="S49" s="554"/>
      <c r="T49" s="554"/>
      <c r="U49" s="540"/>
      <c r="V49" s="540"/>
      <c r="W49" s="540"/>
      <c r="X49" s="540"/>
      <c r="Y49" s="540"/>
      <c r="Z49" s="540"/>
      <c r="AA49" s="540"/>
      <c r="AB49" s="540"/>
      <c r="AC49" s="540"/>
      <c r="AD49" s="540"/>
      <c r="AE49" s="540"/>
      <c r="AF49" s="540"/>
      <c r="AG49" s="540"/>
      <c r="AH49" s="540"/>
      <c r="AI49" s="540"/>
      <c r="AJ49" s="540"/>
      <c r="AK49" s="540"/>
      <c r="AL49" s="540"/>
      <c r="AM49" s="540"/>
      <c r="AN49" s="540"/>
      <c r="AO49" s="540"/>
      <c r="AP49" s="540"/>
    </row>
    <row r="50" spans="1:42" x14ac:dyDescent="0.3">
      <c r="A50" s="540"/>
      <c r="B50" s="548"/>
      <c r="C50" s="548"/>
      <c r="D50" s="548"/>
      <c r="E50" s="549"/>
      <c r="F50" s="548"/>
      <c r="G50" s="550"/>
      <c r="H50" s="550"/>
      <c r="I50" s="551"/>
      <c r="J50" s="551"/>
      <c r="K50" s="552"/>
      <c r="L50" s="552"/>
      <c r="M50" s="553"/>
      <c r="N50" s="551"/>
      <c r="O50" s="552"/>
      <c r="P50" s="552"/>
      <c r="Q50" s="552"/>
      <c r="R50" s="551"/>
      <c r="S50" s="554"/>
      <c r="T50" s="554"/>
      <c r="U50" s="540"/>
      <c r="V50" s="540"/>
      <c r="W50" s="540"/>
      <c r="X50" s="540"/>
      <c r="Y50" s="540"/>
      <c r="Z50" s="540"/>
      <c r="AA50" s="540"/>
      <c r="AB50" s="540"/>
      <c r="AC50" s="540"/>
      <c r="AD50" s="540"/>
      <c r="AE50" s="540"/>
      <c r="AF50" s="540"/>
      <c r="AG50" s="540"/>
      <c r="AH50" s="540"/>
      <c r="AI50" s="540"/>
      <c r="AJ50" s="540"/>
      <c r="AK50" s="540"/>
      <c r="AL50" s="540"/>
      <c r="AM50" s="540"/>
      <c r="AN50" s="540"/>
      <c r="AO50" s="540"/>
      <c r="AP50" s="540"/>
    </row>
    <row r="51" spans="1:42" x14ac:dyDescent="0.3">
      <c r="A51" s="540"/>
      <c r="B51" s="548"/>
      <c r="C51" s="548"/>
      <c r="D51" s="548"/>
      <c r="E51" s="549"/>
      <c r="F51" s="548"/>
      <c r="G51" s="550"/>
      <c r="H51" s="550"/>
      <c r="I51" s="551"/>
      <c r="J51" s="551"/>
      <c r="K51" s="552"/>
      <c r="L51" s="552"/>
      <c r="M51" s="553"/>
      <c r="N51" s="551"/>
      <c r="O51" s="552"/>
      <c r="P51" s="552"/>
      <c r="Q51" s="552"/>
      <c r="R51" s="551"/>
      <c r="S51" s="554"/>
      <c r="T51" s="554"/>
      <c r="U51" s="540"/>
      <c r="V51" s="540"/>
      <c r="W51" s="540"/>
      <c r="X51" s="540"/>
      <c r="Y51" s="540"/>
      <c r="Z51" s="540"/>
      <c r="AA51" s="540"/>
      <c r="AB51" s="540"/>
      <c r="AC51" s="540"/>
      <c r="AD51" s="540"/>
      <c r="AE51" s="540"/>
      <c r="AF51" s="540"/>
      <c r="AG51" s="540"/>
      <c r="AH51" s="540"/>
      <c r="AI51" s="540"/>
      <c r="AJ51" s="540"/>
      <c r="AK51" s="540"/>
      <c r="AL51" s="540"/>
      <c r="AM51" s="540"/>
      <c r="AN51" s="540"/>
      <c r="AO51" s="540"/>
      <c r="AP51" s="540"/>
    </row>
    <row r="52" spans="1:42" x14ac:dyDescent="0.3">
      <c r="A52" s="540"/>
      <c r="B52" s="548"/>
      <c r="C52" s="548"/>
      <c r="D52" s="548"/>
      <c r="E52" s="549"/>
      <c r="F52" s="548"/>
      <c r="G52" s="550"/>
      <c r="H52" s="550"/>
      <c r="I52" s="551"/>
      <c r="J52" s="551"/>
      <c r="K52" s="552"/>
      <c r="L52" s="552"/>
      <c r="M52" s="553"/>
      <c r="N52" s="551"/>
      <c r="O52" s="552"/>
      <c r="P52" s="552"/>
      <c r="Q52" s="552"/>
      <c r="R52" s="551"/>
      <c r="S52" s="554"/>
      <c r="T52" s="554"/>
      <c r="U52" s="540"/>
      <c r="V52" s="540"/>
      <c r="W52" s="540"/>
      <c r="X52" s="540"/>
      <c r="Y52" s="540"/>
      <c r="Z52" s="540"/>
      <c r="AA52" s="540"/>
      <c r="AB52" s="540"/>
      <c r="AC52" s="540"/>
      <c r="AD52" s="540"/>
      <c r="AE52" s="540"/>
      <c r="AF52" s="540"/>
      <c r="AG52" s="540"/>
      <c r="AH52" s="540"/>
      <c r="AI52" s="540"/>
      <c r="AJ52" s="540"/>
      <c r="AK52" s="540"/>
      <c r="AL52" s="540"/>
      <c r="AM52" s="540"/>
      <c r="AN52" s="540"/>
      <c r="AO52" s="540"/>
      <c r="AP52" s="540"/>
    </row>
    <row r="53" spans="1:42" x14ac:dyDescent="0.3">
      <c r="A53" s="540"/>
      <c r="B53" s="548"/>
      <c r="C53" s="548"/>
      <c r="D53" s="548"/>
      <c r="E53" s="549"/>
      <c r="F53" s="548"/>
      <c r="G53" s="550"/>
      <c r="H53" s="550"/>
      <c r="I53" s="551"/>
      <c r="J53" s="551"/>
      <c r="K53" s="552"/>
      <c r="L53" s="552"/>
      <c r="M53" s="553"/>
      <c r="N53" s="551"/>
      <c r="O53" s="552"/>
      <c r="P53" s="552"/>
      <c r="Q53" s="552"/>
      <c r="R53" s="551"/>
      <c r="S53" s="554"/>
      <c r="T53" s="554"/>
      <c r="U53" s="540"/>
      <c r="V53" s="540"/>
      <c r="W53" s="540"/>
      <c r="X53" s="540"/>
      <c r="Y53" s="540"/>
      <c r="Z53" s="540"/>
      <c r="AA53" s="540"/>
      <c r="AB53" s="540"/>
      <c r="AC53" s="540"/>
      <c r="AD53" s="540"/>
      <c r="AE53" s="540"/>
      <c r="AF53" s="540"/>
      <c r="AG53" s="540"/>
      <c r="AH53" s="540"/>
      <c r="AI53" s="540"/>
      <c r="AJ53" s="540"/>
      <c r="AK53" s="540"/>
      <c r="AL53" s="540"/>
      <c r="AM53" s="540"/>
      <c r="AN53" s="540"/>
      <c r="AO53" s="540"/>
      <c r="AP53" s="540"/>
    </row>
    <row r="54" spans="1:42" x14ac:dyDescent="0.3">
      <c r="A54" s="540"/>
      <c r="B54" s="565"/>
      <c r="C54" s="565"/>
      <c r="D54" s="565"/>
      <c r="E54" s="566"/>
      <c r="F54" s="565"/>
      <c r="G54" s="567"/>
      <c r="H54" s="567"/>
      <c r="I54" s="568"/>
      <c r="J54" s="551"/>
      <c r="K54" s="552"/>
      <c r="L54" s="552"/>
      <c r="M54" s="553"/>
      <c r="N54" s="551"/>
      <c r="O54" s="552"/>
      <c r="P54" s="552"/>
      <c r="Q54" s="552"/>
      <c r="R54" s="551"/>
      <c r="S54" s="554"/>
      <c r="T54" s="554"/>
      <c r="U54" s="540"/>
      <c r="V54" s="540"/>
      <c r="W54" s="540"/>
      <c r="X54" s="540"/>
      <c r="Y54" s="540"/>
      <c r="Z54" s="540"/>
      <c r="AA54" s="540"/>
      <c r="AB54" s="540"/>
      <c r="AC54" s="540"/>
      <c r="AD54" s="540"/>
      <c r="AE54" s="540"/>
      <c r="AF54" s="540"/>
      <c r="AG54" s="540"/>
      <c r="AH54" s="540"/>
      <c r="AI54" s="540"/>
      <c r="AJ54" s="540"/>
      <c r="AK54" s="540"/>
      <c r="AL54" s="540"/>
      <c r="AM54" s="540"/>
      <c r="AN54" s="540"/>
      <c r="AO54" s="540"/>
      <c r="AP54" s="540"/>
    </row>
    <row r="55" spans="1:42" x14ac:dyDescent="0.3">
      <c r="A55" s="540"/>
      <c r="B55" s="569"/>
      <c r="C55" s="569"/>
      <c r="D55" s="569"/>
      <c r="E55" s="570"/>
      <c r="F55" s="569"/>
      <c r="G55" s="571"/>
      <c r="H55" s="571"/>
      <c r="I55" s="569"/>
      <c r="J55" s="564"/>
      <c r="K55" s="548"/>
      <c r="L55" s="548"/>
      <c r="M55" s="548"/>
      <c r="N55" s="548"/>
      <c r="O55" s="548"/>
      <c r="P55" s="548"/>
      <c r="Q55" s="548"/>
      <c r="R55" s="551"/>
      <c r="S55" s="554"/>
      <c r="T55" s="554"/>
      <c r="U55" s="540"/>
      <c r="V55" s="540"/>
      <c r="W55" s="540"/>
      <c r="X55" s="540"/>
      <c r="Y55" s="540"/>
      <c r="Z55" s="540"/>
      <c r="AA55" s="540"/>
      <c r="AB55" s="540"/>
      <c r="AC55" s="540"/>
      <c r="AD55" s="540"/>
      <c r="AE55" s="540"/>
      <c r="AF55" s="540"/>
      <c r="AG55" s="540"/>
      <c r="AH55" s="540"/>
      <c r="AI55" s="540"/>
      <c r="AJ55" s="540"/>
      <c r="AK55" s="540"/>
      <c r="AL55" s="540"/>
      <c r="AM55" s="540"/>
      <c r="AN55" s="540"/>
      <c r="AO55" s="540"/>
      <c r="AP55" s="540"/>
    </row>
    <row r="56" spans="1:42" x14ac:dyDescent="0.3">
      <c r="A56" s="540"/>
      <c r="B56" s="569"/>
      <c r="C56" s="569"/>
      <c r="D56" s="569"/>
      <c r="E56" s="572"/>
      <c r="F56" s="569"/>
      <c r="G56" s="569"/>
      <c r="H56" s="569"/>
      <c r="I56" s="569"/>
      <c r="J56" s="564"/>
      <c r="K56" s="548"/>
      <c r="L56" s="548"/>
      <c r="M56" s="548"/>
      <c r="N56" s="548"/>
      <c r="O56" s="548"/>
      <c r="P56" s="548"/>
      <c r="Q56" s="548"/>
      <c r="R56" s="548"/>
      <c r="S56" s="554"/>
      <c r="T56" s="554"/>
      <c r="U56" s="540"/>
      <c r="V56" s="540"/>
      <c r="W56" s="540"/>
      <c r="X56" s="540"/>
      <c r="Y56" s="540"/>
      <c r="Z56" s="540"/>
      <c r="AA56" s="540"/>
      <c r="AB56" s="540"/>
      <c r="AC56" s="540"/>
      <c r="AD56" s="540"/>
      <c r="AE56" s="540"/>
      <c r="AF56" s="540"/>
      <c r="AG56" s="540"/>
      <c r="AH56" s="540"/>
      <c r="AI56" s="540"/>
      <c r="AJ56" s="540"/>
      <c r="AK56" s="540"/>
      <c r="AL56" s="540"/>
      <c r="AM56" s="540"/>
      <c r="AN56" s="540"/>
      <c r="AO56" s="540"/>
      <c r="AP56" s="540"/>
    </row>
    <row r="57" spans="1:42" x14ac:dyDescent="0.3">
      <c r="A57" s="540"/>
      <c r="B57" s="569"/>
      <c r="C57" s="569"/>
      <c r="D57" s="569"/>
      <c r="E57" s="572"/>
      <c r="F57" s="569"/>
      <c r="G57" s="573"/>
      <c r="H57" s="573"/>
      <c r="I57" s="569"/>
      <c r="J57" s="564"/>
      <c r="K57" s="548"/>
      <c r="L57" s="548"/>
      <c r="M57" s="548"/>
      <c r="N57" s="548"/>
      <c r="O57" s="548"/>
      <c r="P57" s="548"/>
      <c r="Q57" s="548"/>
      <c r="R57" s="548"/>
      <c r="S57" s="556"/>
      <c r="T57" s="554"/>
      <c r="U57" s="540"/>
      <c r="V57" s="540"/>
      <c r="W57" s="540"/>
      <c r="X57" s="540"/>
      <c r="Y57" s="540"/>
      <c r="Z57" s="540"/>
      <c r="AA57" s="540"/>
      <c r="AB57" s="540"/>
      <c r="AC57" s="540"/>
      <c r="AD57" s="540"/>
      <c r="AE57" s="540"/>
      <c r="AF57" s="540"/>
      <c r="AG57" s="540"/>
      <c r="AH57" s="540"/>
      <c r="AI57" s="540"/>
      <c r="AJ57" s="540"/>
      <c r="AK57" s="540"/>
      <c r="AL57" s="540"/>
      <c r="AM57" s="540"/>
      <c r="AN57" s="540"/>
      <c r="AO57" s="540"/>
      <c r="AP57" s="540"/>
    </row>
    <row r="58" spans="1:42" x14ac:dyDescent="0.3">
      <c r="A58" s="540"/>
      <c r="B58" s="569"/>
      <c r="C58" s="574"/>
      <c r="D58" s="569"/>
      <c r="E58" s="572"/>
      <c r="F58" s="569"/>
      <c r="G58" s="575"/>
      <c r="H58" s="569"/>
      <c r="I58" s="569"/>
      <c r="J58" s="564"/>
      <c r="K58" s="548"/>
      <c r="L58" s="548"/>
      <c r="M58" s="548"/>
      <c r="N58" s="548"/>
      <c r="O58" s="548"/>
      <c r="P58" s="548"/>
      <c r="Q58" s="548"/>
      <c r="R58" s="548"/>
      <c r="S58" s="556"/>
      <c r="T58" s="554"/>
      <c r="U58" s="540"/>
      <c r="V58" s="540"/>
      <c r="W58" s="540"/>
      <c r="X58" s="540"/>
      <c r="Y58" s="540"/>
      <c r="Z58" s="540"/>
      <c r="AA58" s="540"/>
      <c r="AB58" s="540"/>
      <c r="AC58" s="540"/>
      <c r="AD58" s="540"/>
      <c r="AE58" s="540"/>
      <c r="AF58" s="540"/>
      <c r="AG58" s="540"/>
      <c r="AH58" s="540"/>
      <c r="AI58" s="540"/>
      <c r="AJ58" s="540"/>
      <c r="AK58" s="540"/>
      <c r="AL58" s="540"/>
      <c r="AM58" s="540"/>
      <c r="AN58" s="540"/>
      <c r="AO58" s="540"/>
      <c r="AP58" s="540"/>
    </row>
    <row r="59" spans="1:42" x14ac:dyDescent="0.3">
      <c r="A59" s="540"/>
      <c r="B59" s="569"/>
      <c r="C59" s="569"/>
      <c r="D59" s="569"/>
      <c r="E59" s="572"/>
      <c r="F59" s="569"/>
      <c r="G59" s="569"/>
      <c r="H59" s="569"/>
      <c r="I59" s="569"/>
      <c r="J59" s="564"/>
      <c r="K59" s="548"/>
      <c r="L59" s="548"/>
      <c r="M59" s="548"/>
      <c r="N59" s="548"/>
      <c r="O59" s="548"/>
      <c r="P59" s="548"/>
      <c r="Q59" s="548"/>
      <c r="R59" s="558"/>
      <c r="S59" s="554"/>
      <c r="T59" s="554"/>
      <c r="U59" s="540"/>
      <c r="V59" s="540"/>
      <c r="W59" s="540"/>
      <c r="X59" s="540"/>
      <c r="Y59" s="540"/>
      <c r="Z59" s="540"/>
      <c r="AA59" s="540"/>
      <c r="AB59" s="540"/>
      <c r="AC59" s="540"/>
      <c r="AD59" s="540"/>
      <c r="AE59" s="540"/>
      <c r="AF59" s="540"/>
      <c r="AG59" s="540"/>
      <c r="AH59" s="540"/>
      <c r="AI59" s="540"/>
      <c r="AJ59" s="540"/>
      <c r="AK59" s="540"/>
      <c r="AL59" s="540"/>
      <c r="AM59" s="540"/>
      <c r="AN59" s="540"/>
      <c r="AO59" s="540"/>
      <c r="AP59" s="540"/>
    </row>
    <row r="60" spans="1:42" ht="15.6" x14ac:dyDescent="0.3">
      <c r="A60" s="540"/>
      <c r="B60" s="576"/>
      <c r="C60" s="577"/>
      <c r="D60" s="577"/>
      <c r="E60" s="577"/>
      <c r="F60" s="577"/>
      <c r="G60" s="577"/>
      <c r="H60" s="569"/>
      <c r="I60" s="569"/>
      <c r="J60" s="564"/>
      <c r="K60" s="548"/>
      <c r="L60" s="548"/>
      <c r="M60" s="548"/>
      <c r="N60" s="548"/>
      <c r="O60" s="548"/>
      <c r="P60" s="548"/>
      <c r="Q60" s="548"/>
      <c r="R60" s="548"/>
      <c r="S60" s="554"/>
      <c r="T60" s="554"/>
      <c r="U60" s="540"/>
      <c r="V60" s="540"/>
      <c r="W60" s="540"/>
      <c r="X60" s="540"/>
      <c r="Y60" s="540"/>
      <c r="Z60" s="540"/>
      <c r="AA60" s="540"/>
      <c r="AB60" s="540"/>
      <c r="AC60" s="540"/>
      <c r="AD60" s="540"/>
      <c r="AE60" s="540"/>
      <c r="AF60" s="540"/>
      <c r="AG60" s="540"/>
      <c r="AH60" s="540"/>
      <c r="AI60" s="540"/>
      <c r="AJ60" s="540"/>
      <c r="AK60" s="540"/>
      <c r="AL60" s="540"/>
      <c r="AM60" s="540"/>
      <c r="AN60" s="540"/>
      <c r="AO60" s="540"/>
      <c r="AP60" s="540"/>
    </row>
    <row r="61" spans="1:42" x14ac:dyDescent="0.3">
      <c r="A61" s="540"/>
      <c r="B61" s="569"/>
      <c r="C61" s="577"/>
      <c r="D61" s="577"/>
      <c r="E61" s="577"/>
      <c r="F61" s="577"/>
      <c r="G61" s="577"/>
      <c r="H61" s="577"/>
      <c r="I61" s="577"/>
      <c r="J61" s="564"/>
      <c r="K61" s="548"/>
      <c r="L61" s="548"/>
      <c r="M61" s="548"/>
      <c r="N61" s="548"/>
      <c r="O61" s="548"/>
      <c r="P61" s="548"/>
      <c r="Q61" s="548"/>
      <c r="R61" s="548"/>
      <c r="S61" s="554"/>
      <c r="T61" s="554"/>
      <c r="U61" s="540"/>
      <c r="V61" s="540"/>
      <c r="W61" s="540"/>
      <c r="X61" s="540"/>
      <c r="Y61" s="540"/>
      <c r="Z61" s="540"/>
      <c r="AA61" s="540"/>
      <c r="AB61" s="540"/>
      <c r="AC61" s="540"/>
      <c r="AD61" s="540"/>
      <c r="AE61" s="540"/>
      <c r="AF61" s="540"/>
      <c r="AG61" s="540"/>
      <c r="AH61" s="540"/>
      <c r="AI61" s="540"/>
      <c r="AJ61" s="540"/>
      <c r="AK61" s="540"/>
      <c r="AL61" s="540"/>
      <c r="AM61" s="540"/>
      <c r="AN61" s="540"/>
      <c r="AO61" s="540"/>
      <c r="AP61" s="540"/>
    </row>
    <row r="62" spans="1:42" ht="0" hidden="1" customHeight="1" x14ac:dyDescent="0.3">
      <c r="B62" s="578"/>
      <c r="C62" s="578"/>
      <c r="D62" s="578"/>
      <c r="E62" s="578"/>
      <c r="F62" s="578"/>
      <c r="G62" s="578"/>
      <c r="H62" s="578"/>
      <c r="I62" s="578"/>
    </row>
    <row r="63" spans="1:42" x14ac:dyDescent="0.3">
      <c r="B63" s="578"/>
      <c r="C63" s="578"/>
      <c r="D63" s="578"/>
      <c r="E63" s="578"/>
      <c r="F63" s="578"/>
      <c r="G63" s="578"/>
      <c r="H63" s="578"/>
      <c r="I63" s="578"/>
    </row>
    <row r="64" spans="1:42" x14ac:dyDescent="0.3">
      <c r="B64" s="578"/>
      <c r="C64" s="578"/>
      <c r="D64" s="578"/>
      <c r="E64" s="578"/>
      <c r="F64" s="578"/>
      <c r="G64" s="578"/>
      <c r="H64" s="578"/>
      <c r="I64" s="57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00A24-4B37-424E-B11F-8D284CC12231}">
  <dimension ref="A1:M39"/>
  <sheetViews>
    <sheetView workbookViewId="0">
      <selection activeCell="F32" sqref="F32:F33"/>
    </sheetView>
  </sheetViews>
  <sheetFormatPr defaultColWidth="8.88671875" defaultRowHeight="14.4" x14ac:dyDescent="0.3"/>
  <cols>
    <col min="1" max="1" width="5.44140625" style="217" customWidth="1"/>
    <col min="2" max="2" width="13.109375" style="217" customWidth="1"/>
    <col min="3" max="3" width="20.6640625" style="217" customWidth="1"/>
    <col min="4" max="4" width="17.6640625" style="217" customWidth="1"/>
    <col min="5" max="5" width="20.109375" style="217" customWidth="1"/>
    <col min="6" max="6" width="20.88671875" style="217" customWidth="1"/>
    <col min="7" max="7" width="19.109375" style="217" customWidth="1"/>
    <col min="8" max="8" width="11.109375" style="217" customWidth="1"/>
    <col min="9" max="9" width="18.6640625" style="217" customWidth="1"/>
    <col min="10" max="10" width="20.6640625" style="217" customWidth="1"/>
    <col min="11" max="11" width="20.33203125" style="217" customWidth="1"/>
    <col min="12" max="12" width="14.33203125" style="217" customWidth="1"/>
    <col min="13" max="13" width="255" style="217" customWidth="1"/>
    <col min="14" max="16384" width="8.88671875" style="217"/>
  </cols>
  <sheetData>
    <row r="1" spans="1:13" ht="21" customHeight="1" x14ac:dyDescent="0.3">
      <c r="A1" s="540"/>
      <c r="B1" s="540"/>
      <c r="C1" s="540"/>
      <c r="D1" s="540"/>
      <c r="E1" s="540"/>
      <c r="F1" s="540"/>
      <c r="G1" s="540"/>
      <c r="H1" s="540"/>
      <c r="I1" s="540"/>
      <c r="J1" s="540"/>
      <c r="K1" s="540"/>
      <c r="L1" s="540"/>
      <c r="M1" s="540"/>
    </row>
    <row r="2" spans="1:13" ht="15.6" x14ac:dyDescent="0.3">
      <c r="A2" s="540"/>
      <c r="B2" s="453" t="s">
        <v>211</v>
      </c>
      <c r="C2" s="449"/>
      <c r="D2" s="449"/>
      <c r="E2" s="449"/>
      <c r="F2" s="449"/>
      <c r="G2" s="449"/>
      <c r="H2" s="450"/>
      <c r="I2" s="559" t="s">
        <v>212</v>
      </c>
      <c r="J2" s="560" t="s">
        <v>212</v>
      </c>
      <c r="K2" s="560" t="s">
        <v>212</v>
      </c>
      <c r="L2" s="560" t="s">
        <v>212</v>
      </c>
      <c r="M2" s="540"/>
    </row>
    <row r="3" spans="1:13" x14ac:dyDescent="0.3">
      <c r="A3" s="540"/>
      <c r="B3" s="454" t="s">
        <v>213</v>
      </c>
      <c r="C3" s="451"/>
      <c r="D3" s="451"/>
      <c r="E3" s="451"/>
      <c r="F3" s="451"/>
      <c r="G3" s="451"/>
      <c r="H3" s="451"/>
      <c r="I3" s="451"/>
      <c r="J3" s="452"/>
      <c r="K3" s="561" t="s">
        <v>212</v>
      </c>
      <c r="L3" s="561" t="s">
        <v>212</v>
      </c>
      <c r="M3" s="540"/>
    </row>
    <row r="4" spans="1:13" x14ac:dyDescent="0.3">
      <c r="A4" s="540"/>
      <c r="B4" s="562" t="s">
        <v>212</v>
      </c>
      <c r="C4" s="562" t="s">
        <v>212</v>
      </c>
      <c r="D4" s="562" t="s">
        <v>212</v>
      </c>
      <c r="E4" s="562" t="s">
        <v>212</v>
      </c>
      <c r="F4" s="562" t="s">
        <v>212</v>
      </c>
      <c r="G4" s="562" t="s">
        <v>212</v>
      </c>
      <c r="H4" s="562" t="s">
        <v>212</v>
      </c>
      <c r="I4" s="562" t="s">
        <v>212</v>
      </c>
      <c r="J4" s="562" t="s">
        <v>212</v>
      </c>
      <c r="K4" s="561" t="s">
        <v>212</v>
      </c>
      <c r="L4" s="561" t="s">
        <v>212</v>
      </c>
      <c r="M4" s="540"/>
    </row>
    <row r="5" spans="1:13" x14ac:dyDescent="0.3">
      <c r="A5" s="540"/>
      <c r="B5" s="563" t="s">
        <v>214</v>
      </c>
      <c r="C5" s="563" t="s">
        <v>215</v>
      </c>
      <c r="D5" s="563" t="s">
        <v>216</v>
      </c>
      <c r="E5" s="563" t="s">
        <v>217</v>
      </c>
      <c r="F5" s="563" t="s">
        <v>218</v>
      </c>
      <c r="G5" s="563" t="s">
        <v>219</v>
      </c>
      <c r="H5" s="563" t="s">
        <v>220</v>
      </c>
      <c r="I5" s="563" t="s">
        <v>221</v>
      </c>
      <c r="J5" s="563" t="s">
        <v>222</v>
      </c>
      <c r="K5" s="563" t="s">
        <v>223</v>
      </c>
      <c r="L5" s="563" t="s">
        <v>224</v>
      </c>
      <c r="M5" s="540"/>
    </row>
    <row r="6" spans="1:13" x14ac:dyDescent="0.3">
      <c r="A6" s="540"/>
      <c r="B6" s="548"/>
      <c r="C6" s="548"/>
      <c r="D6" s="548"/>
      <c r="E6" s="549"/>
      <c r="F6" s="548"/>
      <c r="G6" s="550"/>
      <c r="H6" s="550"/>
      <c r="I6" s="551"/>
      <c r="J6" s="552"/>
      <c r="K6" s="551"/>
      <c r="L6" s="554"/>
      <c r="M6" s="540"/>
    </row>
    <row r="7" spans="1:13" x14ac:dyDescent="0.3">
      <c r="A7" s="540"/>
      <c r="B7" s="548"/>
      <c r="C7" s="548"/>
      <c r="D7" s="548"/>
      <c r="E7" s="549"/>
      <c r="F7" s="548"/>
      <c r="G7" s="550"/>
      <c r="H7" s="550"/>
      <c r="I7" s="551"/>
      <c r="J7" s="552"/>
      <c r="K7" s="551"/>
      <c r="L7" s="554"/>
      <c r="M7" s="540"/>
    </row>
    <row r="8" spans="1:13" x14ac:dyDescent="0.3">
      <c r="A8" s="540"/>
      <c r="B8" s="548"/>
      <c r="C8" s="548"/>
      <c r="D8" s="548"/>
      <c r="E8" s="549"/>
      <c r="F8" s="548"/>
      <c r="G8" s="550"/>
      <c r="H8" s="550"/>
      <c r="I8" s="551"/>
      <c r="J8" s="552"/>
      <c r="K8" s="551"/>
      <c r="L8" s="554"/>
      <c r="M8" s="540"/>
    </row>
    <row r="9" spans="1:13" ht="25.2" customHeight="1" x14ac:dyDescent="0.3">
      <c r="A9" s="540"/>
      <c r="B9" s="548"/>
      <c r="C9" s="548"/>
      <c r="D9" s="548"/>
      <c r="E9" s="549"/>
      <c r="F9" s="548"/>
      <c r="G9" s="550"/>
      <c r="H9" s="550"/>
      <c r="I9" s="551"/>
      <c r="J9" s="552"/>
      <c r="K9" s="551"/>
      <c r="L9" s="554"/>
      <c r="M9" s="540"/>
    </row>
    <row r="10" spans="1:13" x14ac:dyDescent="0.3">
      <c r="A10" s="540"/>
      <c r="B10" s="548"/>
      <c r="C10" s="548"/>
      <c r="D10" s="548"/>
      <c r="E10" s="549"/>
      <c r="F10" s="548"/>
      <c r="G10" s="550"/>
      <c r="H10" s="550"/>
      <c r="I10" s="548"/>
      <c r="J10" s="548"/>
      <c r="K10" s="551"/>
      <c r="L10" s="554"/>
      <c r="M10" s="540"/>
    </row>
    <row r="11" spans="1:13" x14ac:dyDescent="0.3">
      <c r="A11" s="540"/>
      <c r="B11" s="548"/>
      <c r="C11" s="548"/>
      <c r="D11" s="548"/>
      <c r="E11" s="549"/>
      <c r="F11" s="548"/>
      <c r="G11" s="548"/>
      <c r="H11" s="548"/>
      <c r="I11" s="548"/>
      <c r="J11" s="548"/>
      <c r="K11" s="548"/>
      <c r="L11" s="554"/>
      <c r="M11" s="540"/>
    </row>
    <row r="12" spans="1:13" x14ac:dyDescent="0.3">
      <c r="A12" s="540"/>
      <c r="B12" s="548"/>
      <c r="C12" s="548"/>
      <c r="D12" s="548"/>
      <c r="E12" s="549"/>
      <c r="F12" s="557"/>
      <c r="G12" s="548"/>
      <c r="H12" s="548"/>
      <c r="I12" s="548"/>
      <c r="J12" s="548"/>
      <c r="K12" s="548"/>
      <c r="L12" s="556"/>
      <c r="M12" s="540"/>
    </row>
    <row r="13" spans="1:13" x14ac:dyDescent="0.3">
      <c r="A13" s="540"/>
      <c r="B13" s="548"/>
      <c r="C13" s="548"/>
      <c r="D13" s="548"/>
      <c r="E13" s="549"/>
      <c r="F13" s="548"/>
      <c r="G13" s="548"/>
      <c r="H13" s="548"/>
      <c r="I13" s="548"/>
      <c r="J13" s="548"/>
      <c r="K13" s="548"/>
      <c r="L13" s="554"/>
      <c r="M13" s="540"/>
    </row>
    <row r="14" spans="1:13" x14ac:dyDescent="0.3">
      <c r="A14" s="540"/>
      <c r="B14" s="548"/>
      <c r="C14" s="540"/>
      <c r="D14" s="540"/>
      <c r="E14" s="549"/>
      <c r="F14" s="540"/>
      <c r="G14" s="540"/>
      <c r="H14" s="540"/>
      <c r="I14" s="540"/>
      <c r="J14" s="540"/>
      <c r="K14" s="548"/>
      <c r="L14" s="554"/>
      <c r="M14" s="540"/>
    </row>
    <row r="15" spans="1:13" x14ac:dyDescent="0.3">
      <c r="A15" s="540"/>
      <c r="B15" s="548"/>
      <c r="C15" s="540"/>
      <c r="D15" s="540"/>
      <c r="E15" s="549"/>
      <c r="F15" s="540"/>
      <c r="G15" s="540"/>
      <c r="H15" s="540"/>
      <c r="I15" s="540"/>
      <c r="J15" s="540"/>
      <c r="K15" s="548"/>
      <c r="L15" s="554"/>
      <c r="M15" s="540"/>
    </row>
    <row r="16" spans="1:13" x14ac:dyDescent="0.3">
      <c r="A16" s="540"/>
      <c r="B16" s="548"/>
      <c r="C16" s="548"/>
      <c r="D16" s="548"/>
      <c r="E16" s="555"/>
      <c r="F16" s="548"/>
      <c r="G16" s="548"/>
      <c r="H16" s="548"/>
      <c r="I16" s="548"/>
      <c r="J16" s="548"/>
      <c r="K16" s="548"/>
      <c r="L16" s="554"/>
      <c r="M16" s="540"/>
    </row>
    <row r="17" spans="1:13" hidden="1" x14ac:dyDescent="0.3">
      <c r="A17" s="540"/>
      <c r="B17" s="540"/>
      <c r="C17" s="540"/>
      <c r="D17" s="540"/>
      <c r="E17" s="540"/>
      <c r="F17" s="540"/>
      <c r="G17" s="540"/>
      <c r="H17" s="540"/>
      <c r="I17" s="540"/>
      <c r="J17" s="540"/>
      <c r="K17" s="540"/>
      <c r="L17" s="540"/>
      <c r="M17" s="540"/>
    </row>
    <row r="18" spans="1:13" x14ac:dyDescent="0.3">
      <c r="A18" s="540"/>
      <c r="B18" s="540"/>
      <c r="C18" s="540"/>
      <c r="D18" s="540"/>
      <c r="E18" s="540"/>
      <c r="F18" s="540"/>
      <c r="G18" s="540"/>
      <c r="H18" s="540"/>
      <c r="I18" s="540"/>
      <c r="J18" s="540"/>
      <c r="K18" s="540"/>
      <c r="L18" s="540"/>
      <c r="M18" s="540"/>
    </row>
    <row r="19" spans="1:13" x14ac:dyDescent="0.3">
      <c r="A19" s="540"/>
      <c r="B19" s="540"/>
      <c r="C19" s="540"/>
      <c r="D19" s="540"/>
      <c r="E19" s="540"/>
      <c r="F19" s="540"/>
      <c r="G19" s="540"/>
      <c r="H19" s="540"/>
      <c r="I19" s="540"/>
      <c r="J19" s="540"/>
      <c r="K19" s="540"/>
      <c r="L19" s="540"/>
      <c r="M19" s="540"/>
    </row>
    <row r="20" spans="1:13" x14ac:dyDescent="0.3">
      <c r="A20" s="540"/>
      <c r="B20" s="540"/>
      <c r="C20" s="540"/>
      <c r="D20" s="540"/>
      <c r="E20" s="540"/>
      <c r="F20" s="540"/>
      <c r="G20" s="540"/>
      <c r="H20" s="540"/>
      <c r="I20" s="540"/>
      <c r="J20" s="540"/>
      <c r="K20" s="540"/>
      <c r="L20" s="540"/>
      <c r="M20" s="540"/>
    </row>
    <row r="21" spans="1:13" x14ac:dyDescent="0.3">
      <c r="A21" s="540"/>
      <c r="B21" s="540"/>
      <c r="C21" s="540"/>
      <c r="D21" s="540"/>
      <c r="E21" s="540"/>
      <c r="F21" s="540"/>
      <c r="G21" s="540"/>
      <c r="H21" s="540"/>
      <c r="I21" s="540"/>
      <c r="J21" s="540"/>
      <c r="K21" s="540"/>
      <c r="L21" s="540"/>
      <c r="M21" s="540"/>
    </row>
    <row r="22" spans="1:13" x14ac:dyDescent="0.3">
      <c r="A22" s="540"/>
      <c r="B22" s="540"/>
      <c r="C22" s="540"/>
      <c r="D22" s="540"/>
      <c r="E22" s="540"/>
      <c r="F22" s="540"/>
      <c r="G22" s="540"/>
      <c r="H22" s="540"/>
      <c r="I22" s="540"/>
      <c r="J22" s="540"/>
      <c r="K22" s="540"/>
      <c r="L22" s="540"/>
      <c r="M22" s="540"/>
    </row>
    <row r="23" spans="1:13" x14ac:dyDescent="0.3">
      <c r="A23" s="540"/>
      <c r="B23" s="540"/>
      <c r="C23" s="540"/>
      <c r="D23" s="540"/>
      <c r="E23" s="540"/>
      <c r="F23" s="540"/>
      <c r="G23" s="540"/>
      <c r="H23" s="540"/>
      <c r="I23" s="540"/>
      <c r="J23" s="540"/>
      <c r="K23" s="540"/>
      <c r="L23" s="540"/>
      <c r="M23" s="540"/>
    </row>
    <row r="24" spans="1:13" x14ac:dyDescent="0.3">
      <c r="A24" s="540"/>
      <c r="B24" s="540"/>
      <c r="C24" s="540"/>
      <c r="D24" s="540"/>
      <c r="E24" s="540"/>
      <c r="F24" s="540"/>
      <c r="G24" s="540"/>
      <c r="H24" s="540"/>
      <c r="I24" s="540"/>
      <c r="J24" s="540"/>
      <c r="K24" s="540"/>
      <c r="L24" s="540"/>
      <c r="M24" s="540"/>
    </row>
    <row r="25" spans="1:13" x14ac:dyDescent="0.3">
      <c r="A25" s="540"/>
      <c r="B25" s="540"/>
      <c r="C25" s="540"/>
      <c r="D25" s="540"/>
      <c r="E25" s="540"/>
      <c r="F25" s="540"/>
      <c r="G25" s="540"/>
      <c r="H25" s="540"/>
      <c r="I25" s="540"/>
      <c r="J25" s="540"/>
      <c r="K25" s="540"/>
      <c r="L25" s="540"/>
      <c r="M25" s="540"/>
    </row>
    <row r="26" spans="1:13" x14ac:dyDescent="0.3">
      <c r="A26" s="540"/>
      <c r="B26" s="540"/>
      <c r="C26" s="540"/>
      <c r="D26" s="540"/>
      <c r="E26" s="540"/>
      <c r="F26" s="540"/>
      <c r="G26" s="540"/>
      <c r="H26" s="540"/>
      <c r="I26" s="540"/>
      <c r="J26" s="540"/>
      <c r="K26" s="540"/>
      <c r="L26" s="540"/>
      <c r="M26" s="540"/>
    </row>
    <row r="27" spans="1:13" x14ac:dyDescent="0.3">
      <c r="A27" s="540"/>
      <c r="B27" s="540"/>
      <c r="C27" s="540"/>
      <c r="D27" s="540"/>
      <c r="E27" s="540"/>
      <c r="F27" s="540"/>
      <c r="G27" s="540"/>
      <c r="H27" s="540"/>
      <c r="I27" s="540"/>
      <c r="J27" s="540"/>
      <c r="K27" s="540"/>
      <c r="L27" s="540"/>
      <c r="M27" s="540"/>
    </row>
    <row r="28" spans="1:13" x14ac:dyDescent="0.3">
      <c r="A28" s="540"/>
      <c r="B28" s="540"/>
      <c r="C28" s="540"/>
      <c r="D28" s="540"/>
      <c r="E28" s="540"/>
      <c r="F28" s="540"/>
      <c r="G28" s="540"/>
      <c r="H28" s="540"/>
      <c r="I28" s="540"/>
      <c r="J28" s="540"/>
      <c r="K28" s="540"/>
      <c r="L28" s="540"/>
      <c r="M28" s="540"/>
    </row>
    <row r="29" spans="1:13" x14ac:dyDescent="0.3">
      <c r="A29" s="540"/>
      <c r="B29" s="540"/>
      <c r="C29" s="540"/>
      <c r="D29" s="540"/>
      <c r="E29" s="540"/>
      <c r="F29" s="540"/>
      <c r="G29" s="540"/>
      <c r="H29" s="540"/>
      <c r="I29" s="540"/>
      <c r="J29" s="540"/>
      <c r="K29" s="540"/>
      <c r="L29" s="540"/>
      <c r="M29" s="540"/>
    </row>
    <row r="30" spans="1:13" x14ac:dyDescent="0.3">
      <c r="A30" s="540"/>
      <c r="B30" s="540"/>
      <c r="C30" s="540"/>
      <c r="D30" s="540"/>
      <c r="E30" s="540"/>
      <c r="F30" s="540"/>
      <c r="G30" s="540"/>
      <c r="H30" s="540"/>
      <c r="I30" s="540"/>
      <c r="J30" s="540"/>
      <c r="K30" s="540"/>
      <c r="L30" s="540"/>
      <c r="M30" s="540"/>
    </row>
    <row r="31" spans="1:13" x14ac:dyDescent="0.3">
      <c r="A31" s="540"/>
      <c r="B31" s="540"/>
      <c r="C31" s="540"/>
      <c r="D31" s="540"/>
      <c r="E31" s="540"/>
      <c r="F31" s="540"/>
      <c r="G31" s="540"/>
      <c r="H31" s="540"/>
      <c r="I31" s="540"/>
      <c r="J31" s="540"/>
      <c r="K31" s="540"/>
      <c r="L31" s="540"/>
      <c r="M31" s="540"/>
    </row>
    <row r="32" spans="1:13" x14ac:dyDescent="0.3">
      <c r="A32" s="540"/>
      <c r="B32" s="540"/>
      <c r="C32" s="540"/>
      <c r="D32" s="540"/>
      <c r="E32" s="540"/>
      <c r="F32" s="540"/>
      <c r="G32" s="540"/>
      <c r="H32" s="540"/>
      <c r="I32" s="540"/>
      <c r="J32" s="540"/>
      <c r="K32" s="540"/>
      <c r="L32" s="540"/>
      <c r="M32" s="540"/>
    </row>
    <row r="33" spans="1:13" x14ac:dyDescent="0.3">
      <c r="A33" s="540"/>
      <c r="B33" s="540"/>
      <c r="C33" s="540"/>
      <c r="D33" s="540"/>
      <c r="E33" s="540"/>
      <c r="F33" s="540"/>
      <c r="G33" s="540"/>
      <c r="H33" s="540"/>
      <c r="I33" s="540"/>
      <c r="J33" s="540"/>
      <c r="K33" s="540"/>
      <c r="L33" s="540"/>
      <c r="M33" s="540"/>
    </row>
    <row r="34" spans="1:13" x14ac:dyDescent="0.3">
      <c r="A34" s="540"/>
      <c r="B34" s="540"/>
      <c r="C34" s="540"/>
      <c r="D34" s="540"/>
      <c r="E34" s="540"/>
      <c r="F34" s="540"/>
      <c r="G34" s="540"/>
      <c r="H34" s="540"/>
      <c r="I34" s="540"/>
      <c r="J34" s="540"/>
      <c r="K34" s="540"/>
      <c r="L34" s="540"/>
      <c r="M34" s="540"/>
    </row>
    <row r="35" spans="1:13" x14ac:dyDescent="0.3">
      <c r="A35" s="540"/>
      <c r="B35" s="540"/>
      <c r="C35" s="540"/>
      <c r="D35" s="540"/>
      <c r="E35" s="540"/>
      <c r="F35" s="540"/>
      <c r="G35" s="540"/>
      <c r="H35" s="540"/>
      <c r="I35" s="540"/>
      <c r="J35" s="540"/>
      <c r="K35" s="540"/>
      <c r="L35" s="540"/>
      <c r="M35" s="540"/>
    </row>
    <row r="36" spans="1:13" x14ac:dyDescent="0.3">
      <c r="A36" s="540"/>
      <c r="B36" s="540"/>
      <c r="C36" s="540"/>
      <c r="D36" s="540"/>
      <c r="E36" s="540"/>
      <c r="F36" s="540"/>
      <c r="G36" s="540"/>
      <c r="H36" s="540"/>
      <c r="I36" s="540"/>
      <c r="J36" s="540"/>
      <c r="K36" s="540"/>
      <c r="L36" s="540"/>
      <c r="M36" s="540"/>
    </row>
    <row r="37" spans="1:13" x14ac:dyDescent="0.3">
      <c r="A37" s="540"/>
      <c r="B37" s="540"/>
      <c r="C37" s="540"/>
      <c r="D37" s="540"/>
      <c r="E37" s="540"/>
      <c r="F37" s="540"/>
      <c r="G37" s="540"/>
      <c r="H37" s="540"/>
      <c r="I37" s="540"/>
      <c r="J37" s="540"/>
      <c r="K37" s="540"/>
      <c r="L37" s="540"/>
      <c r="M37" s="540"/>
    </row>
    <row r="38" spans="1:13" x14ac:dyDescent="0.3">
      <c r="A38" s="540"/>
      <c r="B38" s="540"/>
      <c r="C38" s="540"/>
      <c r="D38" s="540"/>
      <c r="E38" s="540"/>
      <c r="F38" s="540"/>
      <c r="G38" s="540"/>
      <c r="H38" s="540"/>
      <c r="I38" s="540"/>
      <c r="J38" s="540"/>
      <c r="K38" s="540"/>
      <c r="L38" s="540"/>
      <c r="M38" s="540"/>
    </row>
    <row r="39" spans="1:13" x14ac:dyDescent="0.3">
      <c r="A39" s="540"/>
      <c r="B39" s="540"/>
      <c r="C39" s="540"/>
      <c r="D39" s="540"/>
      <c r="E39" s="540"/>
      <c r="F39" s="540"/>
      <c r="G39" s="540"/>
      <c r="H39" s="540"/>
      <c r="I39" s="540"/>
      <c r="J39" s="540"/>
      <c r="K39" s="540"/>
      <c r="L39" s="540"/>
      <c r="M39" s="54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57B14A35A21047B5B1844349F87E30" ma:contentTypeVersion="5" ma:contentTypeDescription="Create a new document." ma:contentTypeScope="" ma:versionID="3f1b5345d22b8e7e44b61c0c72fad14b">
  <xsd:schema xmlns:xsd="http://www.w3.org/2001/XMLSchema" xmlns:xs="http://www.w3.org/2001/XMLSchema" xmlns:p="http://schemas.microsoft.com/office/2006/metadata/properties" xmlns:ns1="http://schemas.microsoft.com/sharepoint/v3" xmlns:ns2="1cebeb0c-4484-4501-a517-f5f7362f1cc6" targetNamespace="http://schemas.microsoft.com/office/2006/metadata/properties" ma:root="true" ma:fieldsID="f3cd081db15d77769402bcb11957abfb" ns1:_="" ns2:_="">
    <xsd:import namespace="http://schemas.microsoft.com/sharepoint/v3"/>
    <xsd:import namespace="1cebeb0c-4484-4501-a517-f5f7362f1c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cebeb0c-4484-4501-a517-f5f7362f1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921E84-F81D-4F57-B2F7-8447FFC29391}">
  <ds:schemaRefs>
    <ds:schemaRef ds:uri="http://purl.org/dc/dcmitype/"/>
    <ds:schemaRef ds:uri="http://schemas.microsoft.com/office/2006/metadata/properties"/>
    <ds:schemaRef ds:uri="http://schemas.microsoft.com/office/2006/documentManagement/types"/>
    <ds:schemaRef ds:uri="1cebeb0c-4484-4501-a517-f5f7362f1cc6"/>
    <ds:schemaRef ds:uri="http://purl.org/dc/terms/"/>
    <ds:schemaRef ds:uri="http://schemas.microsoft.com/office/infopath/2007/PartnerControls"/>
    <ds:schemaRef ds:uri="http://schemas.openxmlformats.org/package/2006/metadata/core-properties"/>
    <ds:schemaRef ds:uri="http://schemas.microsoft.com/sharepoint/v3"/>
    <ds:schemaRef ds:uri="http://www.w3.org/XML/1998/namespace"/>
    <ds:schemaRef ds:uri="http://purl.org/dc/elements/1.1/"/>
  </ds:schemaRefs>
</ds:datastoreItem>
</file>

<file path=customXml/itemProps2.xml><?xml version="1.0" encoding="utf-8"?>
<ds:datastoreItem xmlns:ds="http://schemas.openxmlformats.org/officeDocument/2006/customXml" ds:itemID="{33C50209-F10C-408D-A4ED-548061A4D7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cebeb0c-4484-4501-a517-f5f7362f1c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1F6D91-C95B-4FC9-8CD3-9B9D2F9952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START HERE</vt:lpstr>
      <vt:lpstr>Tax Return 2025-26</vt:lpstr>
      <vt:lpstr>Share Unit Pool</vt:lpstr>
      <vt:lpstr>C Share Pool</vt:lpstr>
      <vt:lpstr>20 March 2026 Sale</vt:lpstr>
      <vt:lpstr>Data Share Units</vt:lpstr>
      <vt:lpstr>Data CShare</vt:lpstr>
      <vt:lpstr>ClosingBOrdinary</vt:lpstr>
      <vt:lpstr>ClosingCOrdinary</vt:lpstr>
      <vt:lpstr>DeferredBOrdinary</vt:lpstr>
      <vt:lpstr>DeferredCOrdinary</vt:lpstr>
      <vt:lpstr>PreferenceShare</vt:lpstr>
      <vt:lpstr>'C Share Pool'!Print_Area</vt:lpstr>
      <vt:lpstr>'START HERE'!Print_Area</vt:lpstr>
      <vt:lpstr>'Tax Return 2025-26'!Print_Area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Akash Agarwal</dc:creator>
  <cp:keywords/>
  <dc:description/>
  <cp:lastModifiedBy>David Vickerstaffe</cp:lastModifiedBy>
  <cp:revision/>
  <cp:lastPrinted>2026-06-11T15:29:36Z</cp:lastPrinted>
  <dcterms:created xsi:type="dcterms:W3CDTF">2022-05-25T08:28:43Z</dcterms:created>
  <dcterms:modified xsi:type="dcterms:W3CDTF">2026-06-15T14:08:10Z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0x0101000957B14A35A21047B5B1844349F87E30</vt:lpwstr>
  </property>
</Properties>
</file>